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royhenikoff/Dropbox (Personal)/Files/Teaching/Financial Modeling files/"/>
    </mc:Choice>
  </mc:AlternateContent>
  <xr:revisionPtr revIDLastSave="0" documentId="13_ncr:1_{BB714117-D63A-8847-A195-0C4A3F12C80B}" xr6:coauthVersionLast="45" xr6:coauthVersionMax="45" xr10:uidLastSave="{00000000-0000-0000-0000-000000000000}"/>
  <bookViews>
    <workbookView xWindow="0" yWindow="460" windowWidth="15060" windowHeight="26720" tabRatio="836" xr2:uid="{00000000-000D-0000-FFFF-FFFF00000000}"/>
    <workbookView xWindow="15080" yWindow="460" windowWidth="35480" windowHeight="26720" tabRatio="500" firstSheet="1" activeTab="4" xr2:uid="{00000000-000D-0000-FFFF-FFFF01000000}"/>
  </bookViews>
  <sheets>
    <sheet name="Assumptions" sheetId="1" r:id="rId1"/>
    <sheet name="Charts" sheetId="13" r:id="rId2"/>
    <sheet name="Annual Income Statement" sheetId="8" r:id="rId3"/>
    <sheet name="Annual Balance Sheet" sheetId="10" r:id="rId4"/>
    <sheet name="Annual Cash Flow" sheetId="11" r:id="rId5"/>
    <sheet name="Monthly Income Statement" sheetId="2" r:id="rId6"/>
    <sheet name="Monthly Balance Sheet" sheetId="3" r:id="rId7"/>
    <sheet name="Monthly Cash Flow" sheetId="9" r:id="rId8"/>
    <sheet name="Traffic Detail" sheetId="4" r:id="rId9"/>
    <sheet name="Sales Detail" sheetId="6" r:id="rId10"/>
    <sheet name="Employees" sheetId="7" r:id="rId11"/>
    <sheet name="Unit Economics" sheetId="12" r:id="rId12"/>
    <sheet name="Waterfalls" sheetId="14" r:id="rId13"/>
  </sheets>
  <definedNames>
    <definedName name="AverageAPDays">Assumptions!$C$56</definedName>
    <definedName name="AverageARDays">Assumptions!$C$55</definedName>
    <definedName name="AverageCPCGoogle">Assumptions!$C$28</definedName>
    <definedName name="AverageCPConFACEBOOK">Assumptions!$C$29</definedName>
    <definedName name="AverageCPCSpend">Assumptions!#REF!</definedName>
    <definedName name="CPCGoogle">Assumptions!#REF!</definedName>
    <definedName name="CPMGrowthPerMonth">Assumptions!$C$8</definedName>
    <definedName name="DirectTrafficMultiplier">Assumptions!$C$26</definedName>
    <definedName name="eCommerceMargin">Assumptions!$C$34</definedName>
    <definedName name="FacebookToEcommerce">Assumptions!$C$19</definedName>
    <definedName name="FacebookToSubscriber">Assumptions!$C$16</definedName>
    <definedName name="InternetBaseCost">Assumptions!$C$36</definedName>
    <definedName name="InternetCostPer1MMVisits">Assumptions!$C$37</definedName>
    <definedName name="InventoryDaysOnHand">Assumptions!$C$57</definedName>
    <definedName name="LegalAndAccountingCostPerMonth">Assumptions!$C$44</definedName>
    <definedName name="MaxCPMOnAdsSold">Assumptions!$C$9</definedName>
    <definedName name="MaximumMktgSpendOfCash">Assumptions!$C$13</definedName>
    <definedName name="MonthlySubscriptionChurn">Assumptions!$C$5</definedName>
    <definedName name="MonthlySubscriptionPrice">Assumptions!$C$4</definedName>
    <definedName name="OpeningCashBalance">Assumptions!$C$50</definedName>
    <definedName name="OptionPoolPercentage">Assumptions!$C$52</definedName>
    <definedName name="OrdersPerWarehouseHelpPerson">Assumptions!$C$39</definedName>
    <definedName name="OrganicToEcommerceConversion">Assumptions!$C$23</definedName>
    <definedName name="OrganicToSubscriberConversion">Assumptions!$C$22</definedName>
    <definedName name="OrganicTrafficMonthlyGrowthRate">Assumptions!$C$25</definedName>
    <definedName name="PagesPerVisit">Assumptions!$C$7</definedName>
    <definedName name="PreMoneyMonth1">Assumptions!$C$51</definedName>
    <definedName name="RecruitingPerNewEmployee">Assumptions!$C$48</definedName>
    <definedName name="RentPerEmployee">Assumptions!$C$42</definedName>
    <definedName name="RevenueMultiple">Assumptions!$C$59</definedName>
    <definedName name="SEMToEcommerce">Assumptions!$C$18</definedName>
    <definedName name="SEMToSubscriber">Assumptions!$C$15</definedName>
    <definedName name="SeriesAFunding">Assumptions!$C$53</definedName>
    <definedName name="SteadyStateMonthlyFBSpend">Assumptions!$C$12</definedName>
    <definedName name="SteadyStateMonthlySEMSpend">Assumptions!$C$11</definedName>
    <definedName name="SubscriptionMargin">Assumptions!$C$33</definedName>
    <definedName name="TaxesAndBenefits">Assumptions!$C$41</definedName>
    <definedName name="TechCostPerEmployeePerMonth">Assumptions!$C$43</definedName>
    <definedName name="TrainingPerEmployeePerMonth">Assumptions!$C$47</definedName>
    <definedName name="TravelCostPerEmployeePerMonth">Assumptions!$C$46</definedName>
    <definedName name="VIsitsPerFBPicturePost">Assumptions!$C$30</definedName>
    <definedName name="VIsitsPerFBVideoPost">Assumptions!$C$31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3" l="1"/>
  <c r="C15" i="3"/>
  <c r="D15" i="3"/>
  <c r="E15" i="3"/>
  <c r="F15" i="3"/>
  <c r="F20" i="3"/>
  <c r="E20" i="3"/>
  <c r="D20" i="3"/>
  <c r="C20" i="3"/>
  <c r="G20" i="3"/>
  <c r="H5" i="3"/>
  <c r="G7" i="9"/>
  <c r="G9" i="9" s="1"/>
  <c r="D9" i="9"/>
  <c r="E6" i="9"/>
  <c r="F6" i="9"/>
  <c r="G6" i="9"/>
  <c r="E7" i="9"/>
  <c r="E9" i="9" s="1"/>
  <c r="F7" i="9"/>
  <c r="F9" i="9" s="1"/>
  <c r="D12" i="9"/>
  <c r="E12" i="9"/>
  <c r="F12" i="9"/>
  <c r="G12" i="9"/>
  <c r="C12" i="9"/>
  <c r="E13" i="9"/>
  <c r="F13" i="9"/>
  <c r="G14" i="9"/>
  <c r="E14" i="9"/>
  <c r="F14" i="9"/>
  <c r="C14" i="9"/>
  <c r="C13" i="9"/>
  <c r="C7" i="9"/>
  <c r="C9" i="9" s="1"/>
  <c r="C6" i="9"/>
  <c r="D6" i="9"/>
  <c r="D7" i="9"/>
  <c r="D14" i="9"/>
  <c r="D13" i="9"/>
  <c r="C18" i="9" l="1"/>
  <c r="F18" i="9"/>
  <c r="F20" i="9"/>
  <c r="E18" i="9"/>
  <c r="E20" i="9"/>
  <c r="G13" i="9"/>
  <c r="G18" i="9" s="1"/>
  <c r="G20" i="9" s="1"/>
  <c r="C20" i="9"/>
  <c r="D18" i="9"/>
  <c r="D20" i="9" s="1"/>
  <c r="C10" i="12"/>
  <c r="H9" i="6" l="1"/>
  <c r="C6" i="12"/>
  <c r="D22" i="9" l="1"/>
  <c r="E22" i="9"/>
  <c r="F22" i="9"/>
  <c r="G22" i="9"/>
  <c r="H5" i="6" l="1"/>
  <c r="C5" i="6"/>
  <c r="C2" i="11" l="1"/>
  <c r="D2" i="10"/>
  <c r="C2" i="10"/>
  <c r="D2" i="8"/>
  <c r="D2" i="11" s="1"/>
  <c r="AY2" i="7"/>
  <c r="AA2" i="7"/>
  <c r="AY2" i="6"/>
  <c r="AA2" i="6"/>
  <c r="C2" i="6"/>
  <c r="AY2" i="4"/>
  <c r="AA2" i="4"/>
  <c r="C2" i="4"/>
  <c r="AY2" i="9"/>
  <c r="AA2" i="9"/>
  <c r="AA2" i="3"/>
  <c r="AY2" i="3"/>
  <c r="E2" i="6" l="1"/>
  <c r="F2" i="6"/>
  <c r="E2" i="8"/>
  <c r="F2" i="8" s="1"/>
  <c r="G2" i="8" s="1"/>
  <c r="F2" i="4"/>
  <c r="E2" i="4"/>
  <c r="D2" i="6"/>
  <c r="D2" i="4"/>
  <c r="D30" i="3"/>
  <c r="E30" i="3"/>
  <c r="F30" i="3"/>
  <c r="G30" i="3"/>
  <c r="H30" i="3"/>
  <c r="I30" i="3"/>
  <c r="J30" i="3"/>
  <c r="K30" i="3"/>
  <c r="L30" i="3"/>
  <c r="M30" i="3"/>
  <c r="N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C29" i="3"/>
  <c r="I13" i="6"/>
  <c r="J13" i="6" s="1"/>
  <c r="K13" i="6" s="1"/>
  <c r="L13" i="6" s="1"/>
  <c r="M13" i="6" s="1"/>
  <c r="N13" i="6" s="1"/>
  <c r="H18" i="6"/>
  <c r="I18" i="6" s="1"/>
  <c r="J18" i="6" s="1"/>
  <c r="K18" i="6" s="1"/>
  <c r="L18" i="6" s="1"/>
  <c r="M18" i="6" s="1"/>
  <c r="N18" i="6" s="1"/>
  <c r="O18" i="6" s="1"/>
  <c r="P18" i="6" s="1"/>
  <c r="Q18" i="6" s="1"/>
  <c r="R18" i="6" s="1"/>
  <c r="S18" i="6" s="1"/>
  <c r="T18" i="6" s="1"/>
  <c r="U18" i="6" s="1"/>
  <c r="V18" i="6" s="1"/>
  <c r="W18" i="6" s="1"/>
  <c r="X18" i="6" s="1"/>
  <c r="Y18" i="6" s="1"/>
  <c r="Z18" i="6" s="1"/>
  <c r="AA18" i="6" s="1"/>
  <c r="AB18" i="6" s="1"/>
  <c r="AC18" i="6" s="1"/>
  <c r="AD18" i="6" s="1"/>
  <c r="AE18" i="6" s="1"/>
  <c r="AF18" i="6" s="1"/>
  <c r="AG18" i="6" s="1"/>
  <c r="AH18" i="6" s="1"/>
  <c r="AI18" i="6" s="1"/>
  <c r="AJ18" i="6" s="1"/>
  <c r="AK18" i="6" s="1"/>
  <c r="AL18" i="6" s="1"/>
  <c r="AM18" i="6" s="1"/>
  <c r="AN18" i="6" s="1"/>
  <c r="AO18" i="6" s="1"/>
  <c r="AP18" i="6" s="1"/>
  <c r="AQ18" i="6" s="1"/>
  <c r="AR18" i="6" s="1"/>
  <c r="AS18" i="6" s="1"/>
  <c r="AT18" i="6" s="1"/>
  <c r="AU18" i="6" s="1"/>
  <c r="AV18" i="6" s="1"/>
  <c r="AW18" i="6" s="1"/>
  <c r="AX18" i="6" s="1"/>
  <c r="AY18" i="6" s="1"/>
  <c r="AZ18" i="6" s="1"/>
  <c r="BA18" i="6" s="1"/>
  <c r="BB18" i="6" s="1"/>
  <c r="BC18" i="6" s="1"/>
  <c r="BD18" i="6" s="1"/>
  <c r="BE18" i="6" s="1"/>
  <c r="BF18" i="6" s="1"/>
  <c r="BG18" i="6" s="1"/>
  <c r="BH18" i="6" s="1"/>
  <c r="BI18" i="6" s="1"/>
  <c r="BJ18" i="6" s="1"/>
  <c r="H23" i="6"/>
  <c r="I23" i="6" s="1"/>
  <c r="J23" i="6" s="1"/>
  <c r="K23" i="6" s="1"/>
  <c r="L23" i="6" s="1"/>
  <c r="M23" i="6" s="1"/>
  <c r="N23" i="6" s="1"/>
  <c r="O23" i="6" s="1"/>
  <c r="P23" i="6" s="1"/>
  <c r="Q23" i="6" s="1"/>
  <c r="R23" i="6" s="1"/>
  <c r="S23" i="6" s="1"/>
  <c r="T23" i="6" s="1"/>
  <c r="U23" i="6" s="1"/>
  <c r="V23" i="6" s="1"/>
  <c r="W23" i="6" s="1"/>
  <c r="X23" i="6" s="1"/>
  <c r="Y23" i="6" s="1"/>
  <c r="Z23" i="6" s="1"/>
  <c r="AA23" i="6" s="1"/>
  <c r="AB23" i="6" s="1"/>
  <c r="AC23" i="6" s="1"/>
  <c r="AD23" i="6" s="1"/>
  <c r="AE23" i="6" s="1"/>
  <c r="AF23" i="6" s="1"/>
  <c r="AG23" i="6" s="1"/>
  <c r="AH23" i="6" s="1"/>
  <c r="AI23" i="6" s="1"/>
  <c r="AJ23" i="6" s="1"/>
  <c r="AK23" i="6" s="1"/>
  <c r="AL23" i="6" s="1"/>
  <c r="AM23" i="6" s="1"/>
  <c r="AN23" i="6" s="1"/>
  <c r="AO23" i="6" s="1"/>
  <c r="AP23" i="6" s="1"/>
  <c r="AQ23" i="6" s="1"/>
  <c r="AR23" i="6" s="1"/>
  <c r="AS23" i="6" s="1"/>
  <c r="AT23" i="6" s="1"/>
  <c r="AU23" i="6" s="1"/>
  <c r="AV23" i="6" s="1"/>
  <c r="AW23" i="6" s="1"/>
  <c r="AX23" i="6" s="1"/>
  <c r="AY23" i="6" s="1"/>
  <c r="AZ23" i="6" s="1"/>
  <c r="BA23" i="6" s="1"/>
  <c r="BB23" i="6" s="1"/>
  <c r="BC23" i="6" s="1"/>
  <c r="BD23" i="6" s="1"/>
  <c r="BE23" i="6" s="1"/>
  <c r="BF23" i="6" s="1"/>
  <c r="BG23" i="6" s="1"/>
  <c r="BH23" i="6" s="1"/>
  <c r="BI23" i="6" s="1"/>
  <c r="BJ23" i="6" s="1"/>
  <c r="C42" i="1"/>
  <c r="C39" i="2"/>
  <c r="H3" i="4"/>
  <c r="H4" i="4" s="1"/>
  <c r="H7" i="7"/>
  <c r="I7" i="7" s="1"/>
  <c r="J7" i="7" s="1"/>
  <c r="K7" i="7" s="1"/>
  <c r="K20" i="7" s="1"/>
  <c r="H29" i="2"/>
  <c r="H22" i="9"/>
  <c r="I3" i="4"/>
  <c r="I4" i="4" s="1"/>
  <c r="I20" i="7"/>
  <c r="I29" i="2"/>
  <c r="I22" i="9"/>
  <c r="J3" i="4"/>
  <c r="J4" i="4" s="1"/>
  <c r="J29" i="2"/>
  <c r="J22" i="9"/>
  <c r="K3" i="4"/>
  <c r="K4" i="4" s="1"/>
  <c r="K29" i="2"/>
  <c r="K22" i="9"/>
  <c r="L3" i="4"/>
  <c r="L4" i="4" s="1"/>
  <c r="L7" i="7"/>
  <c r="L29" i="2"/>
  <c r="L22" i="9"/>
  <c r="M3" i="4"/>
  <c r="M4" i="4" s="1"/>
  <c r="M29" i="2"/>
  <c r="M22" i="9"/>
  <c r="N3" i="4"/>
  <c r="N29" i="2"/>
  <c r="N22" i="9"/>
  <c r="O3" i="4"/>
  <c r="O4" i="4" s="1"/>
  <c r="O19" i="7"/>
  <c r="O29" i="2"/>
  <c r="O39" i="2"/>
  <c r="O22" i="9" s="1"/>
  <c r="P3" i="4"/>
  <c r="P4" i="4" s="1"/>
  <c r="P6" i="7"/>
  <c r="P19" i="7" s="1"/>
  <c r="P29" i="2"/>
  <c r="P22" i="9"/>
  <c r="Q3" i="4"/>
  <c r="Q6" i="7"/>
  <c r="Q19" i="7" s="1"/>
  <c r="Q29" i="2"/>
  <c r="Q22" i="9"/>
  <c r="R3" i="4"/>
  <c r="R4" i="4" s="1"/>
  <c r="R29" i="2"/>
  <c r="R22" i="9"/>
  <c r="S3" i="4"/>
  <c r="S4" i="4" s="1"/>
  <c r="S29" i="2"/>
  <c r="S22" i="9"/>
  <c r="T3" i="4"/>
  <c r="T4" i="4" s="1"/>
  <c r="T29" i="2"/>
  <c r="T22" i="9"/>
  <c r="U3" i="4"/>
  <c r="U4" i="4" s="1"/>
  <c r="U29" i="2"/>
  <c r="U22" i="9"/>
  <c r="V3" i="4"/>
  <c r="V4" i="4" s="1"/>
  <c r="V29" i="2"/>
  <c r="V22" i="9"/>
  <c r="W3" i="4"/>
  <c r="W4" i="4" s="1"/>
  <c r="W29" i="2"/>
  <c r="W22" i="9"/>
  <c r="X3" i="4"/>
  <c r="X4" i="4" s="1"/>
  <c r="X13" i="6"/>
  <c r="Y13" i="6" s="1"/>
  <c r="Z13" i="6" s="1"/>
  <c r="AA13" i="6" s="1"/>
  <c r="AB13" i="6" s="1"/>
  <c r="AC13" i="6" s="1"/>
  <c r="AD13" i="6" s="1"/>
  <c r="AE13" i="6" s="1"/>
  <c r="AF13" i="6" s="1"/>
  <c r="AG13" i="6" s="1"/>
  <c r="AH13" i="6" s="1"/>
  <c r="AI13" i="6" s="1"/>
  <c r="AJ13" i="6" s="1"/>
  <c r="AK13" i="6" s="1"/>
  <c r="AL13" i="6" s="1"/>
  <c r="AM13" i="6" s="1"/>
  <c r="AN13" i="6" s="1"/>
  <c r="AO13" i="6" s="1"/>
  <c r="AP13" i="6" s="1"/>
  <c r="AQ13" i="6" s="1"/>
  <c r="AR13" i="6" s="1"/>
  <c r="AS13" i="6" s="1"/>
  <c r="AT13" i="6" s="1"/>
  <c r="AU13" i="6" s="1"/>
  <c r="AV13" i="6" s="1"/>
  <c r="AW13" i="6" s="1"/>
  <c r="AX13" i="6" s="1"/>
  <c r="AY13" i="6" s="1"/>
  <c r="AZ13" i="6" s="1"/>
  <c r="BA13" i="6" s="1"/>
  <c r="BB13" i="6" s="1"/>
  <c r="BC13" i="6" s="1"/>
  <c r="BD13" i="6" s="1"/>
  <c r="BE13" i="6" s="1"/>
  <c r="BF13" i="6" s="1"/>
  <c r="BG13" i="6" s="1"/>
  <c r="BH13" i="6" s="1"/>
  <c r="BI13" i="6" s="1"/>
  <c r="BJ13" i="6" s="1"/>
  <c r="X29" i="2"/>
  <c r="X22" i="9"/>
  <c r="Y3" i="4"/>
  <c r="Y4" i="4" s="1"/>
  <c r="Y29" i="2"/>
  <c r="Y22" i="9"/>
  <c r="Z3" i="4"/>
  <c r="Z4" i="4" s="1"/>
  <c r="Z29" i="2"/>
  <c r="Z22" i="9"/>
  <c r="AA3" i="4"/>
  <c r="AA19" i="2" s="1"/>
  <c r="AA29" i="2"/>
  <c r="AA22" i="9"/>
  <c r="AB3" i="4"/>
  <c r="AB4" i="4" s="1"/>
  <c r="AB29" i="2"/>
  <c r="AB22" i="9"/>
  <c r="AC3" i="4"/>
  <c r="AC29" i="2"/>
  <c r="AC22" i="9"/>
  <c r="AD3" i="4"/>
  <c r="AD4" i="4" s="1"/>
  <c r="AD29" i="2"/>
  <c r="AD22" i="9"/>
  <c r="AE3" i="4"/>
  <c r="AE4" i="4" s="1"/>
  <c r="AE29" i="2"/>
  <c r="AE22" i="9"/>
  <c r="AF3" i="4"/>
  <c r="AF4" i="4" s="1"/>
  <c r="AF29" i="2"/>
  <c r="AF22" i="9"/>
  <c r="AG3" i="4"/>
  <c r="AG4" i="4" s="1"/>
  <c r="AG29" i="2"/>
  <c r="AG22" i="9"/>
  <c r="AH3" i="4"/>
  <c r="AH4" i="4" s="1"/>
  <c r="AH29" i="2"/>
  <c r="AH22" i="9"/>
  <c r="AI3" i="4"/>
  <c r="AI4" i="4" s="1"/>
  <c r="AI29" i="2"/>
  <c r="AI22" i="9"/>
  <c r="AJ3" i="4"/>
  <c r="AJ4" i="4" s="1"/>
  <c r="AJ29" i="2"/>
  <c r="AJ22" i="9"/>
  <c r="AK3" i="4"/>
  <c r="AK19" i="2" s="1"/>
  <c r="AK29" i="2"/>
  <c r="AK22" i="9"/>
  <c r="AL3" i="4"/>
  <c r="AL29" i="2"/>
  <c r="AL22" i="9"/>
  <c r="AM3" i="4"/>
  <c r="AM4" i="4" s="1"/>
  <c r="AM29" i="2"/>
  <c r="AM22" i="9"/>
  <c r="AN3" i="4"/>
  <c r="AN4" i="4" s="1"/>
  <c r="AN29" i="2"/>
  <c r="AN22" i="9"/>
  <c r="AO3" i="4"/>
  <c r="AO4" i="4" s="1"/>
  <c r="AO29" i="2"/>
  <c r="AO22" i="9"/>
  <c r="AP3" i="4"/>
  <c r="AP4" i="4" s="1"/>
  <c r="AP29" i="2"/>
  <c r="AP22" i="9"/>
  <c r="AQ3" i="4"/>
  <c r="AQ4" i="4" s="1"/>
  <c r="AQ29" i="2"/>
  <c r="AQ22" i="9"/>
  <c r="AR3" i="4"/>
  <c r="AR4" i="4" s="1"/>
  <c r="AR29" i="2"/>
  <c r="AR22" i="9"/>
  <c r="AS3" i="4"/>
  <c r="AS19" i="2" s="1"/>
  <c r="AS29" i="2"/>
  <c r="AS22" i="9"/>
  <c r="AT3" i="4"/>
  <c r="AT4" i="4" s="1"/>
  <c r="AT29" i="2"/>
  <c r="AT22" i="9"/>
  <c r="AU3" i="4"/>
  <c r="AU4" i="4" s="1"/>
  <c r="AU29" i="2"/>
  <c r="AU22" i="9"/>
  <c r="AV3" i="4"/>
  <c r="AV4" i="4" s="1"/>
  <c r="AV29" i="2"/>
  <c r="AV22" i="9"/>
  <c r="AW3" i="4"/>
  <c r="AW4" i="4" s="1"/>
  <c r="AW29" i="2"/>
  <c r="AW22" i="9"/>
  <c r="AX3" i="4"/>
  <c r="AX19" i="2" s="1"/>
  <c r="AX29" i="2"/>
  <c r="AX22" i="9"/>
  <c r="AY3" i="4"/>
  <c r="AY4" i="4" s="1"/>
  <c r="AY29" i="2"/>
  <c r="AY22" i="9"/>
  <c r="AZ3" i="4"/>
  <c r="AZ4" i="4" s="1"/>
  <c r="AZ29" i="2"/>
  <c r="AZ22" i="9"/>
  <c r="BA3" i="4"/>
  <c r="BA4" i="4" s="1"/>
  <c r="BA29" i="2"/>
  <c r="BA22" i="9"/>
  <c r="BB3" i="4"/>
  <c r="BB4" i="4" s="1"/>
  <c r="BB29" i="2"/>
  <c r="BB22" i="9"/>
  <c r="BC3" i="4"/>
  <c r="BC4" i="4" s="1"/>
  <c r="BC29" i="2"/>
  <c r="BC22" i="9"/>
  <c r="BD3" i="4"/>
  <c r="BD4" i="4" s="1"/>
  <c r="BD29" i="2"/>
  <c r="BD22" i="9"/>
  <c r="BE3" i="4"/>
  <c r="BE4" i="4" s="1"/>
  <c r="BE29" i="2"/>
  <c r="BE22" i="9"/>
  <c r="BF3" i="4"/>
  <c r="BF4" i="4" s="1"/>
  <c r="BF29" i="2"/>
  <c r="BF22" i="9"/>
  <c r="BG3" i="4"/>
  <c r="BG4" i="4" s="1"/>
  <c r="BG29" i="2"/>
  <c r="BG22" i="9"/>
  <c r="BH3" i="4"/>
  <c r="BH29" i="2"/>
  <c r="BH22" i="9"/>
  <c r="BI3" i="4"/>
  <c r="BI4" i="4" s="1"/>
  <c r="BI29" i="2"/>
  <c r="BI22" i="9"/>
  <c r="BJ3" i="4"/>
  <c r="BJ4" i="4" s="1"/>
  <c r="BJ29" i="2"/>
  <c r="BJ22" i="9"/>
  <c r="C17" i="12"/>
  <c r="C16" i="12"/>
  <c r="C12" i="1"/>
  <c r="C3" i="11"/>
  <c r="B5" i="11"/>
  <c r="B6" i="11"/>
  <c r="B7" i="11"/>
  <c r="B9" i="11"/>
  <c r="B11" i="11"/>
  <c r="B12" i="11"/>
  <c r="B13" i="11"/>
  <c r="B14" i="11"/>
  <c r="B15" i="11"/>
  <c r="B16" i="11"/>
  <c r="B17" i="11"/>
  <c r="B18" i="11"/>
  <c r="B20" i="11"/>
  <c r="B22" i="11"/>
  <c r="B23" i="11"/>
  <c r="B24" i="11"/>
  <c r="B25" i="11"/>
  <c r="B27" i="11"/>
  <c r="B3" i="11"/>
  <c r="A4" i="10"/>
  <c r="A5" i="10"/>
  <c r="A6" i="10"/>
  <c r="A7" i="10"/>
  <c r="A8" i="10"/>
  <c r="A9" i="10"/>
  <c r="A11" i="10"/>
  <c r="A12" i="10"/>
  <c r="A13" i="10"/>
  <c r="A14" i="10"/>
  <c r="A15" i="10"/>
  <c r="A17" i="10"/>
  <c r="A18" i="10"/>
  <c r="A19" i="10"/>
  <c r="A20" i="10"/>
  <c r="A22" i="10"/>
  <c r="A3" i="10"/>
  <c r="B4" i="8"/>
  <c r="B5" i="8"/>
  <c r="B6" i="8"/>
  <c r="B7" i="8"/>
  <c r="A8" i="8"/>
  <c r="A10" i="8"/>
  <c r="B11" i="8"/>
  <c r="B12" i="8"/>
  <c r="B13" i="8"/>
  <c r="A14" i="8"/>
  <c r="A16" i="8"/>
  <c r="A18" i="8"/>
  <c r="B19" i="8"/>
  <c r="B20" i="8"/>
  <c r="A21" i="8"/>
  <c r="A23" i="8"/>
  <c r="A25" i="8"/>
  <c r="B26" i="8"/>
  <c r="B27" i="8"/>
  <c r="B28" i="8"/>
  <c r="B29" i="8"/>
  <c r="B30" i="8"/>
  <c r="B31" i="8"/>
  <c r="B32" i="8"/>
  <c r="A33" i="8"/>
  <c r="A36" i="8"/>
  <c r="A3" i="8"/>
  <c r="F22" i="11" l="1"/>
  <c r="E22" i="11"/>
  <c r="R6" i="7"/>
  <c r="F29" i="8"/>
  <c r="C29" i="8"/>
  <c r="D29" i="8"/>
  <c r="AH19" i="2"/>
  <c r="BJ19" i="2"/>
  <c r="AX4" i="4"/>
  <c r="AK4" i="4"/>
  <c r="AA4" i="4"/>
  <c r="C22" i="9"/>
  <c r="C18" i="3"/>
  <c r="D18" i="3" s="1"/>
  <c r="E18" i="3" s="1"/>
  <c r="F18" i="3" s="1"/>
  <c r="G18" i="3" s="1"/>
  <c r="H18" i="3" s="1"/>
  <c r="I18" i="3" s="1"/>
  <c r="J18" i="3" s="1"/>
  <c r="K18" i="3" s="1"/>
  <c r="L18" i="3" s="1"/>
  <c r="M18" i="3" s="1"/>
  <c r="X19" i="2"/>
  <c r="L19" i="2"/>
  <c r="BB19" i="2"/>
  <c r="AV19" i="2"/>
  <c r="AQ19" i="2"/>
  <c r="Z19" i="2"/>
  <c r="E2" i="11"/>
  <c r="F2" i="10"/>
  <c r="E2" i="10"/>
  <c r="F2" i="11"/>
  <c r="H6" i="4"/>
  <c r="L6" i="4"/>
  <c r="L20" i="2" s="1"/>
  <c r="P6" i="4"/>
  <c r="P20" i="2" s="1"/>
  <c r="T6" i="4"/>
  <c r="T20" i="2" s="1"/>
  <c r="X6" i="4"/>
  <c r="X7" i="4" s="1"/>
  <c r="AB6" i="4"/>
  <c r="AF6" i="4"/>
  <c r="AF7" i="4" s="1"/>
  <c r="AJ6" i="4"/>
  <c r="AJ7" i="4" s="1"/>
  <c r="AN6" i="4"/>
  <c r="AN7" i="4" s="1"/>
  <c r="AR6" i="4"/>
  <c r="AR20" i="2" s="1"/>
  <c r="AV6" i="4"/>
  <c r="AV7" i="4" s="1"/>
  <c r="AZ6" i="4"/>
  <c r="AZ20" i="2" s="1"/>
  <c r="BD6" i="4"/>
  <c r="BD20" i="2" s="1"/>
  <c r="BH6" i="4"/>
  <c r="BH7" i="4" s="1"/>
  <c r="M6" i="4"/>
  <c r="Q6" i="4"/>
  <c r="Q7" i="4" s="1"/>
  <c r="Y6" i="4"/>
  <c r="AC6" i="4"/>
  <c r="AC7" i="4" s="1"/>
  <c r="AG6" i="4"/>
  <c r="AK6" i="4"/>
  <c r="AO6" i="4"/>
  <c r="AS6" i="4"/>
  <c r="AS7" i="4" s="1"/>
  <c r="AW6" i="4"/>
  <c r="AW7" i="4" s="1"/>
  <c r="BA6" i="4"/>
  <c r="BA7" i="4" s="1"/>
  <c r="BE6" i="4"/>
  <c r="BE7" i="4" s="1"/>
  <c r="BI6" i="4"/>
  <c r="J6" i="4"/>
  <c r="N6" i="4"/>
  <c r="N7" i="4" s="1"/>
  <c r="R6" i="4"/>
  <c r="R20" i="2" s="1"/>
  <c r="V6" i="4"/>
  <c r="V7" i="4" s="1"/>
  <c r="Z6" i="4"/>
  <c r="Z7" i="4" s="1"/>
  <c r="AD6" i="4"/>
  <c r="AD7" i="4" s="1"/>
  <c r="AH6" i="4"/>
  <c r="AH20" i="2" s="1"/>
  <c r="AL6" i="4"/>
  <c r="AL20" i="2" s="1"/>
  <c r="AP6" i="4"/>
  <c r="AP20" i="2" s="1"/>
  <c r="AT6" i="4"/>
  <c r="AT20" i="2" s="1"/>
  <c r="AX6" i="4"/>
  <c r="BB6" i="4"/>
  <c r="BB7" i="4" s="1"/>
  <c r="BF6" i="4"/>
  <c r="BF7" i="4" s="1"/>
  <c r="BJ6" i="4"/>
  <c r="BJ7" i="4" s="1"/>
  <c r="K6" i="4"/>
  <c r="K20" i="2" s="1"/>
  <c r="O6" i="4"/>
  <c r="S6" i="4"/>
  <c r="S20" i="2" s="1"/>
  <c r="W6" i="4"/>
  <c r="W20" i="2" s="1"/>
  <c r="AA6" i="4"/>
  <c r="AE6" i="4"/>
  <c r="AE20" i="2" s="1"/>
  <c r="AI6" i="4"/>
  <c r="AI7" i="4" s="1"/>
  <c r="AM6" i="4"/>
  <c r="AM7" i="4" s="1"/>
  <c r="AQ6" i="4"/>
  <c r="AQ7" i="4" s="1"/>
  <c r="AU6" i="4"/>
  <c r="AU7" i="4" s="1"/>
  <c r="AY6" i="4"/>
  <c r="BC6" i="4"/>
  <c r="BC7" i="4" s="1"/>
  <c r="BG6" i="4"/>
  <c r="BG7" i="4" s="1"/>
  <c r="I6" i="4"/>
  <c r="I7" i="4" s="1"/>
  <c r="U6" i="4"/>
  <c r="H4" i="7"/>
  <c r="C30" i="3"/>
  <c r="C31" i="3" s="1"/>
  <c r="C32" i="3" s="1"/>
  <c r="C33" i="3" s="1"/>
  <c r="C34" i="3" s="1"/>
  <c r="G22" i="11"/>
  <c r="E29" i="8"/>
  <c r="V19" i="2"/>
  <c r="D22" i="11"/>
  <c r="G2" i="6"/>
  <c r="G2" i="4"/>
  <c r="H2" i="2"/>
  <c r="AU19" i="2"/>
  <c r="BI19" i="2"/>
  <c r="G29" i="8"/>
  <c r="AE19" i="2"/>
  <c r="G2" i="11"/>
  <c r="G2" i="10"/>
  <c r="O30" i="3"/>
  <c r="BA19" i="2"/>
  <c r="BE19" i="2"/>
  <c r="AM19" i="2"/>
  <c r="AS4" i="4"/>
  <c r="AN19" i="2"/>
  <c r="AD19" i="2"/>
  <c r="Y19" i="2"/>
  <c r="T19" i="2"/>
  <c r="I19" i="2"/>
  <c r="BC19" i="2"/>
  <c r="AZ19" i="2"/>
  <c r="AF19" i="2"/>
  <c r="AC20" i="2"/>
  <c r="U19" i="2"/>
  <c r="S19" i="2"/>
  <c r="P19" i="2"/>
  <c r="J19" i="2"/>
  <c r="O13" i="6"/>
  <c r="P13" i="6" s="1"/>
  <c r="Q13" i="6" s="1"/>
  <c r="R13" i="6" s="1"/>
  <c r="S13" i="6" s="1"/>
  <c r="T13" i="6" s="1"/>
  <c r="U13" i="6" s="1"/>
  <c r="V13" i="6" s="1"/>
  <c r="C9" i="12"/>
  <c r="C11" i="12" s="1"/>
  <c r="BD19" i="2"/>
  <c r="AY19" i="2"/>
  <c r="AP19" i="2"/>
  <c r="AJ19" i="2"/>
  <c r="AB19" i="2"/>
  <c r="K19" i="2"/>
  <c r="AW19" i="2"/>
  <c r="BG19" i="2"/>
  <c r="BF19" i="2"/>
  <c r="AO19" i="2"/>
  <c r="AI19" i="2"/>
  <c r="AG19" i="2"/>
  <c r="W19" i="2"/>
  <c r="R19" i="2"/>
  <c r="O19" i="2"/>
  <c r="M19" i="2"/>
  <c r="I5" i="6"/>
  <c r="J5" i="6" s="1"/>
  <c r="K5" i="6" s="1"/>
  <c r="L5" i="6" s="1"/>
  <c r="M5" i="6" s="1"/>
  <c r="N5" i="6" s="1"/>
  <c r="O5" i="6" s="1"/>
  <c r="P5" i="6" s="1"/>
  <c r="Q5" i="6" s="1"/>
  <c r="R5" i="6" s="1"/>
  <c r="S5" i="6" s="1"/>
  <c r="T5" i="6" s="1"/>
  <c r="U5" i="6" s="1"/>
  <c r="V5" i="6" s="1"/>
  <c r="W5" i="6" s="1"/>
  <c r="X5" i="6" s="1"/>
  <c r="Y5" i="6" s="1"/>
  <c r="Z5" i="6" s="1"/>
  <c r="AA5" i="6" s="1"/>
  <c r="AB5" i="6" s="1"/>
  <c r="AC5" i="6" s="1"/>
  <c r="AD5" i="6" s="1"/>
  <c r="AE5" i="6" s="1"/>
  <c r="AF5" i="6" s="1"/>
  <c r="AG5" i="6" s="1"/>
  <c r="AH5" i="6" s="1"/>
  <c r="AI5" i="6" s="1"/>
  <c r="AJ5" i="6" s="1"/>
  <c r="AK5" i="6" s="1"/>
  <c r="AL5" i="6" s="1"/>
  <c r="AM5" i="6" s="1"/>
  <c r="AN5" i="6" s="1"/>
  <c r="AO5" i="6" s="1"/>
  <c r="AP5" i="6" s="1"/>
  <c r="AQ5" i="6" s="1"/>
  <c r="AR5" i="6" s="1"/>
  <c r="AS5" i="6" s="1"/>
  <c r="AT5" i="6" s="1"/>
  <c r="AU5" i="6" s="1"/>
  <c r="AV5" i="6" s="1"/>
  <c r="AW5" i="6" s="1"/>
  <c r="AX5" i="6" s="1"/>
  <c r="AY5" i="6" s="1"/>
  <c r="AZ5" i="6" s="1"/>
  <c r="BA5" i="6" s="1"/>
  <c r="BB5" i="6" s="1"/>
  <c r="BC5" i="6" s="1"/>
  <c r="BD5" i="6" s="1"/>
  <c r="BE5" i="6" s="1"/>
  <c r="BF5" i="6" s="1"/>
  <c r="BG5" i="6" s="1"/>
  <c r="BH5" i="6" s="1"/>
  <c r="BI5" i="6" s="1"/>
  <c r="BJ5" i="6" s="1"/>
  <c r="BH4" i="4"/>
  <c r="BH19" i="2"/>
  <c r="AL4" i="4"/>
  <c r="AL19" i="2"/>
  <c r="AT19" i="2"/>
  <c r="AR19" i="2"/>
  <c r="AC4" i="4"/>
  <c r="AC19" i="2"/>
  <c r="Z20" i="2"/>
  <c r="Q19" i="2"/>
  <c r="Q4" i="4"/>
  <c r="R19" i="7"/>
  <c r="S6" i="7"/>
  <c r="N19" i="2"/>
  <c r="N4" i="4"/>
  <c r="L20" i="7"/>
  <c r="M7" i="7"/>
  <c r="H12" i="4"/>
  <c r="J20" i="7"/>
  <c r="H6" i="7"/>
  <c r="H19" i="2"/>
  <c r="H20" i="7"/>
  <c r="H12" i="7"/>
  <c r="AP21" i="2" l="1"/>
  <c r="Q20" i="2"/>
  <c r="AQ20" i="2"/>
  <c r="Z21" i="2"/>
  <c r="AH21" i="2"/>
  <c r="W7" i="4"/>
  <c r="L21" i="2"/>
  <c r="BG20" i="2"/>
  <c r="BG21" i="2" s="1"/>
  <c r="X20" i="2"/>
  <c r="X21" i="2" s="1"/>
  <c r="K21" i="2"/>
  <c r="V20" i="2"/>
  <c r="V21" i="2" s="1"/>
  <c r="AR7" i="4"/>
  <c r="R7" i="4"/>
  <c r="P21" i="2"/>
  <c r="AQ21" i="2"/>
  <c r="AN20" i="2"/>
  <c r="AN21" i="2" s="1"/>
  <c r="BE20" i="2"/>
  <c r="BE21" i="2" s="1"/>
  <c r="AH7" i="4"/>
  <c r="BD21" i="2"/>
  <c r="BH20" i="2"/>
  <c r="BH21" i="2" s="1"/>
  <c r="L7" i="4"/>
  <c r="AE7" i="4"/>
  <c r="AU20" i="2"/>
  <c r="AU21" i="2" s="1"/>
  <c r="I20" i="2"/>
  <c r="I21" i="2" s="1"/>
  <c r="AL7" i="4"/>
  <c r="AL21" i="2"/>
  <c r="K7" i="4"/>
  <c r="BB20" i="2"/>
  <c r="BB21" i="2" s="1"/>
  <c r="AS20" i="2"/>
  <c r="AS21" i="2" s="1"/>
  <c r="BD7" i="4"/>
  <c r="C22" i="11"/>
  <c r="C27" i="9"/>
  <c r="AP7" i="4"/>
  <c r="AV20" i="2"/>
  <c r="AV21" i="2" s="1"/>
  <c r="S7" i="4"/>
  <c r="AW20" i="2"/>
  <c r="AW21" i="2" s="1"/>
  <c r="S21" i="2"/>
  <c r="BF20" i="2"/>
  <c r="BF21" i="2" s="1"/>
  <c r="P7" i="4"/>
  <c r="AF20" i="2"/>
  <c r="AF21" i="2" s="1"/>
  <c r="C18" i="4"/>
  <c r="AJ20" i="2"/>
  <c r="AJ21" i="2" s="1"/>
  <c r="AT7" i="4"/>
  <c r="AD20" i="2"/>
  <c r="AD21" i="2" s="1"/>
  <c r="AZ7" i="4"/>
  <c r="AZ21" i="2"/>
  <c r="BJ20" i="2"/>
  <c r="BJ21" i="2" s="1"/>
  <c r="I2" i="2"/>
  <c r="H2" i="7"/>
  <c r="H2" i="6"/>
  <c r="H2" i="4"/>
  <c r="H2" i="9"/>
  <c r="H2" i="3"/>
  <c r="AY20" i="2"/>
  <c r="AY21" i="2" s="1"/>
  <c r="AY7" i="4"/>
  <c r="J20" i="2"/>
  <c r="J21" i="2" s="1"/>
  <c r="J7" i="4"/>
  <c r="AG20" i="2"/>
  <c r="AG21" i="2" s="1"/>
  <c r="AG7" i="4"/>
  <c r="M20" i="2"/>
  <c r="M21" i="2" s="1"/>
  <c r="M7" i="4"/>
  <c r="U20" i="2"/>
  <c r="U21" i="2" s="1"/>
  <c r="U7" i="4"/>
  <c r="T7" i="4"/>
  <c r="C19" i="6"/>
  <c r="N20" i="2"/>
  <c r="N21" i="2" s="1"/>
  <c r="BC20" i="2"/>
  <c r="BC21" i="2" s="1"/>
  <c r="O20" i="2"/>
  <c r="O21" i="2" s="1"/>
  <c r="O7" i="4"/>
  <c r="BI20" i="2"/>
  <c r="BI21" i="2" s="1"/>
  <c r="BI7" i="4"/>
  <c r="AB20" i="2"/>
  <c r="AB21" i="2" s="1"/>
  <c r="AB7" i="4"/>
  <c r="AK20" i="2"/>
  <c r="AK21" i="2" s="1"/>
  <c r="AK7" i="4"/>
  <c r="W21" i="2"/>
  <c r="AM20" i="2"/>
  <c r="AM21" i="2" s="1"/>
  <c r="T21" i="2"/>
  <c r="BA20" i="2"/>
  <c r="BA21" i="2" s="1"/>
  <c r="AI20" i="2"/>
  <c r="AI21" i="2" s="1"/>
  <c r="H17" i="7"/>
  <c r="I4" i="7"/>
  <c r="AA7" i="4"/>
  <c r="AA20" i="2"/>
  <c r="AA21" i="2" s="1"/>
  <c r="AX7" i="4"/>
  <c r="AX20" i="2"/>
  <c r="AX21" i="2" s="1"/>
  <c r="AO7" i="4"/>
  <c r="AO20" i="2"/>
  <c r="AO21" i="2" s="1"/>
  <c r="Y20" i="2"/>
  <c r="Y21" i="2" s="1"/>
  <c r="Y7" i="4"/>
  <c r="H7" i="4"/>
  <c r="H20" i="2"/>
  <c r="AT21" i="2"/>
  <c r="H9" i="4"/>
  <c r="AE21" i="2"/>
  <c r="H25" i="7"/>
  <c r="I12" i="7"/>
  <c r="H13" i="4"/>
  <c r="I12" i="4"/>
  <c r="T6" i="7"/>
  <c r="S19" i="7"/>
  <c r="AC21" i="2"/>
  <c r="E19" i="8"/>
  <c r="H16" i="4"/>
  <c r="Q21" i="2"/>
  <c r="D19" i="8"/>
  <c r="C19" i="8"/>
  <c r="H19" i="7"/>
  <c r="I6" i="7"/>
  <c r="M20" i="7"/>
  <c r="N7" i="7"/>
  <c r="R21" i="2"/>
  <c r="AR21" i="2"/>
  <c r="F19" i="8"/>
  <c r="G19" i="8"/>
  <c r="N18" i="3"/>
  <c r="D3" i="9" l="1"/>
  <c r="D27" i="9" s="1"/>
  <c r="C4" i="3"/>
  <c r="C9" i="3" s="1"/>
  <c r="E3" i="9"/>
  <c r="E27" i="9" s="1"/>
  <c r="F3" i="9" s="1"/>
  <c r="F27" i="9" s="1"/>
  <c r="D4" i="3"/>
  <c r="D9" i="3" s="1"/>
  <c r="D20" i="8"/>
  <c r="C20" i="8"/>
  <c r="C21" i="8" s="1"/>
  <c r="F20" i="8"/>
  <c r="F21" i="8" s="1"/>
  <c r="H21" i="2"/>
  <c r="G20" i="8"/>
  <c r="G21" i="8" s="1"/>
  <c r="E20" i="8"/>
  <c r="E21" i="8" s="1"/>
  <c r="C25" i="6"/>
  <c r="H10" i="7"/>
  <c r="J4" i="7"/>
  <c r="I17" i="7"/>
  <c r="J2" i="2"/>
  <c r="I2" i="7"/>
  <c r="I2" i="3"/>
  <c r="I2" i="6"/>
  <c r="I2" i="4"/>
  <c r="I2" i="9"/>
  <c r="I19" i="7"/>
  <c r="J6" i="7"/>
  <c r="D21" i="8"/>
  <c r="H5" i="7"/>
  <c r="I9" i="4"/>
  <c r="H10" i="4"/>
  <c r="I13" i="4"/>
  <c r="J12" i="4"/>
  <c r="O18" i="3"/>
  <c r="C18" i="10"/>
  <c r="N20" i="7"/>
  <c r="O7" i="7"/>
  <c r="I25" i="7"/>
  <c r="J12" i="7"/>
  <c r="H9" i="7"/>
  <c r="I16" i="4"/>
  <c r="U6" i="7"/>
  <c r="T19" i="7"/>
  <c r="G3" i="9" l="1"/>
  <c r="G27" i="9" s="1"/>
  <c r="G4" i="3" s="1"/>
  <c r="G9" i="3" s="1"/>
  <c r="F4" i="3"/>
  <c r="F9" i="3" s="1"/>
  <c r="E4" i="3"/>
  <c r="E9" i="3" s="1"/>
  <c r="K4" i="7"/>
  <c r="J17" i="7"/>
  <c r="I10" i="7"/>
  <c r="H23" i="7"/>
  <c r="K2" i="2"/>
  <c r="J2" i="3"/>
  <c r="J2" i="6"/>
  <c r="J2" i="9"/>
  <c r="J2" i="4"/>
  <c r="J2" i="7"/>
  <c r="P18" i="3"/>
  <c r="J9" i="4"/>
  <c r="I10" i="4"/>
  <c r="I5" i="7"/>
  <c r="H18" i="7"/>
  <c r="H22" i="7"/>
  <c r="I9" i="7"/>
  <c r="J13" i="4"/>
  <c r="K12" i="4"/>
  <c r="U19" i="7"/>
  <c r="V6" i="7"/>
  <c r="J16" i="4"/>
  <c r="J25" i="7"/>
  <c r="K12" i="7"/>
  <c r="H24" i="6"/>
  <c r="O20" i="7"/>
  <c r="P7" i="7"/>
  <c r="J19" i="7"/>
  <c r="K6" i="7"/>
  <c r="I23" i="7" l="1"/>
  <c r="J10" i="7"/>
  <c r="L2" i="2"/>
  <c r="K2" i="4"/>
  <c r="K2" i="7"/>
  <c r="K2" i="9"/>
  <c r="K2" i="3"/>
  <c r="K2" i="6"/>
  <c r="L4" i="7"/>
  <c r="K17" i="7"/>
  <c r="I9" i="6"/>
  <c r="H14" i="6"/>
  <c r="L6" i="7"/>
  <c r="K19" i="7"/>
  <c r="L12" i="4"/>
  <c r="K13" i="4"/>
  <c r="I18" i="7"/>
  <c r="J5" i="7"/>
  <c r="I24" i="6"/>
  <c r="K16" i="4"/>
  <c r="I22" i="7"/>
  <c r="J9" i="7"/>
  <c r="J10" i="4"/>
  <c r="K9" i="4"/>
  <c r="P20" i="7"/>
  <c r="Q7" i="7"/>
  <c r="L12" i="7"/>
  <c r="K25" i="7"/>
  <c r="V19" i="7"/>
  <c r="W6" i="7"/>
  <c r="Q18" i="3"/>
  <c r="M2" i="2" l="1"/>
  <c r="L2" i="7"/>
  <c r="L2" i="6"/>
  <c r="L2" i="4"/>
  <c r="L2" i="9"/>
  <c r="L2" i="3"/>
  <c r="K10" i="7"/>
  <c r="J23" i="7"/>
  <c r="M4" i="7"/>
  <c r="L17" i="7"/>
  <c r="J9" i="6"/>
  <c r="I14" i="6"/>
  <c r="M12" i="4"/>
  <c r="L13" i="4"/>
  <c r="M12" i="7"/>
  <c r="L25" i="7"/>
  <c r="J22" i="7"/>
  <c r="K9" i="7"/>
  <c r="K5" i="7"/>
  <c r="J18" i="7"/>
  <c r="K10" i="4"/>
  <c r="L9" i="4"/>
  <c r="L16" i="4"/>
  <c r="R18" i="3"/>
  <c r="X6" i="7"/>
  <c r="W19" i="7"/>
  <c r="R7" i="7"/>
  <c r="Q20" i="7"/>
  <c r="J24" i="6"/>
  <c r="M6" i="7"/>
  <c r="L19" i="7"/>
  <c r="K23" i="7" l="1"/>
  <c r="L10" i="7"/>
  <c r="M17" i="7"/>
  <c r="N4" i="7"/>
  <c r="N2" i="2"/>
  <c r="M2" i="9"/>
  <c r="M2" i="6"/>
  <c r="M2" i="7"/>
  <c r="M2" i="3"/>
  <c r="M2" i="4"/>
  <c r="J14" i="6"/>
  <c r="K9" i="6"/>
  <c r="K24" i="6"/>
  <c r="L10" i="4"/>
  <c r="M9" i="4"/>
  <c r="K18" i="7"/>
  <c r="L5" i="7"/>
  <c r="M13" i="4"/>
  <c r="N12" i="4"/>
  <c r="Y6" i="7"/>
  <c r="X19" i="7"/>
  <c r="M16" i="4"/>
  <c r="L9" i="7"/>
  <c r="K22" i="7"/>
  <c r="M19" i="7"/>
  <c r="N6" i="7"/>
  <c r="N19" i="7" s="1"/>
  <c r="R20" i="7"/>
  <c r="S7" i="7"/>
  <c r="S18" i="3"/>
  <c r="M25" i="7"/>
  <c r="N12" i="7"/>
  <c r="O2" i="2" l="1"/>
  <c r="N2" i="3"/>
  <c r="N2" i="7"/>
  <c r="N2" i="4"/>
  <c r="N2" i="6"/>
  <c r="N2" i="9"/>
  <c r="O4" i="7"/>
  <c r="N17" i="7"/>
  <c r="L23" i="7"/>
  <c r="M10" i="7"/>
  <c r="K14" i="6"/>
  <c r="L9" i="6"/>
  <c r="N16" i="4"/>
  <c r="Y19" i="7"/>
  <c r="Z6" i="7"/>
  <c r="L18" i="7"/>
  <c r="M5" i="7"/>
  <c r="T18" i="3"/>
  <c r="S20" i="7"/>
  <c r="T7" i="7"/>
  <c r="M9" i="7"/>
  <c r="L22" i="7"/>
  <c r="N13" i="4"/>
  <c r="O12" i="4"/>
  <c r="N9" i="4"/>
  <c r="M10" i="4"/>
  <c r="O12" i="7"/>
  <c r="N25" i="7"/>
  <c r="L24" i="6"/>
  <c r="P4" i="7" l="1"/>
  <c r="O17" i="7"/>
  <c r="N10" i="7"/>
  <c r="M23" i="7"/>
  <c r="P2" i="2"/>
  <c r="O2" i="6"/>
  <c r="O2" i="3"/>
  <c r="O2" i="4"/>
  <c r="O2" i="9"/>
  <c r="O2" i="7"/>
  <c r="M9" i="6"/>
  <c r="L14" i="6"/>
  <c r="O16" i="4"/>
  <c r="P12" i="7"/>
  <c r="O25" i="7"/>
  <c r="U18" i="3"/>
  <c r="Z19" i="7"/>
  <c r="AA6" i="7"/>
  <c r="N10" i="4"/>
  <c r="O9" i="4"/>
  <c r="T20" i="7"/>
  <c r="U7" i="7"/>
  <c r="N5" i="7"/>
  <c r="M18" i="7"/>
  <c r="M24" i="6"/>
  <c r="P12" i="4"/>
  <c r="O13" i="4"/>
  <c r="M22" i="7"/>
  <c r="N9" i="7"/>
  <c r="N23" i="7" l="1"/>
  <c r="O10" i="7"/>
  <c r="Q2" i="2"/>
  <c r="P2" i="7"/>
  <c r="P2" i="6"/>
  <c r="P2" i="4"/>
  <c r="P2" i="9"/>
  <c r="P2" i="3"/>
  <c r="Q4" i="7"/>
  <c r="P17" i="7"/>
  <c r="N9" i="6"/>
  <c r="M14" i="6"/>
  <c r="P13" i="4"/>
  <c r="Q12" i="4"/>
  <c r="P25" i="7"/>
  <c r="Q12" i="7"/>
  <c r="V7" i="7"/>
  <c r="U20" i="7"/>
  <c r="O10" i="4"/>
  <c r="P9" i="4"/>
  <c r="AB6" i="7"/>
  <c r="AA19" i="7"/>
  <c r="N18" i="7"/>
  <c r="O5" i="7"/>
  <c r="P16" i="4"/>
  <c r="O9" i="7"/>
  <c r="N22" i="7"/>
  <c r="N24" i="6"/>
  <c r="V18" i="3"/>
  <c r="R2" i="2" l="1"/>
  <c r="Q2" i="4"/>
  <c r="Q2" i="9"/>
  <c r="Q2" i="7"/>
  <c r="Q2" i="3"/>
  <c r="Q2" i="6"/>
  <c r="O23" i="7"/>
  <c r="P10" i="7"/>
  <c r="Q17" i="7"/>
  <c r="R4" i="7"/>
  <c r="O9" i="6"/>
  <c r="N14" i="6"/>
  <c r="C3" i="12"/>
  <c r="C5" i="12" s="1"/>
  <c r="C7" i="12" s="1"/>
  <c r="C13" i="12" s="1"/>
  <c r="O24" i="6"/>
  <c r="Q16" i="4"/>
  <c r="O18" i="7"/>
  <c r="P5" i="7"/>
  <c r="AC6" i="7"/>
  <c r="AB19" i="7"/>
  <c r="Q25" i="7"/>
  <c r="R12" i="7"/>
  <c r="V20" i="7"/>
  <c r="W7" i="7"/>
  <c r="P10" i="4"/>
  <c r="Q9" i="4"/>
  <c r="Q13" i="4"/>
  <c r="R12" i="4"/>
  <c r="P9" i="7"/>
  <c r="O22" i="7"/>
  <c r="W18" i="3"/>
  <c r="P23" i="7" l="1"/>
  <c r="Q10" i="7"/>
  <c r="S4" i="7"/>
  <c r="R17" i="7"/>
  <c r="S2" i="2"/>
  <c r="R2" i="3"/>
  <c r="R2" i="9"/>
  <c r="R2" i="7"/>
  <c r="R2" i="6"/>
  <c r="R2" i="4"/>
  <c r="E16" i="12"/>
  <c r="E17" i="12"/>
  <c r="D16" i="12"/>
  <c r="D17" i="12"/>
  <c r="O14" i="6"/>
  <c r="P9" i="6"/>
  <c r="W20" i="7"/>
  <c r="X7" i="7"/>
  <c r="P24" i="6"/>
  <c r="R16" i="4"/>
  <c r="S12" i="7"/>
  <c r="R25" i="7"/>
  <c r="P18" i="7"/>
  <c r="Q5" i="7"/>
  <c r="Q9" i="7"/>
  <c r="P22" i="7"/>
  <c r="R13" i="4"/>
  <c r="S12" i="4"/>
  <c r="X18" i="3"/>
  <c r="AC19" i="7"/>
  <c r="AD6" i="7"/>
  <c r="R9" i="4"/>
  <c r="Q10" i="4"/>
  <c r="S17" i="7" l="1"/>
  <c r="T4" i="7"/>
  <c r="R10" i="7"/>
  <c r="Q23" i="7"/>
  <c r="T2" i="2"/>
  <c r="S2" i="7"/>
  <c r="S2" i="6"/>
  <c r="S2" i="4"/>
  <c r="S2" i="3"/>
  <c r="S2" i="9"/>
  <c r="P14" i="6"/>
  <c r="Q9" i="6"/>
  <c r="R10" i="4"/>
  <c r="S9" i="4"/>
  <c r="AD19" i="7"/>
  <c r="AE6" i="7"/>
  <c r="S16" i="4"/>
  <c r="S13" i="4"/>
  <c r="T12" i="4"/>
  <c r="Q22" i="7"/>
  <c r="R9" i="7"/>
  <c r="S25" i="7"/>
  <c r="T12" i="7"/>
  <c r="R5" i="7"/>
  <c r="Q18" i="7"/>
  <c r="X20" i="7"/>
  <c r="Y7" i="7"/>
  <c r="Y18" i="3"/>
  <c r="Q24" i="6"/>
  <c r="R23" i="7" l="1"/>
  <c r="S10" i="7"/>
  <c r="U4" i="7"/>
  <c r="T17" i="7"/>
  <c r="U2" i="2"/>
  <c r="T2" i="7"/>
  <c r="T2" i="6"/>
  <c r="T2" i="4"/>
  <c r="T2" i="9"/>
  <c r="T2" i="3"/>
  <c r="R9" i="6"/>
  <c r="Q14" i="6"/>
  <c r="S10" i="4"/>
  <c r="T9" i="4"/>
  <c r="S9" i="7"/>
  <c r="R22" i="7"/>
  <c r="R24" i="6"/>
  <c r="S5" i="7"/>
  <c r="R18" i="7"/>
  <c r="U12" i="7"/>
  <c r="T25" i="7"/>
  <c r="T16" i="4"/>
  <c r="AF6" i="7"/>
  <c r="AE19" i="7"/>
  <c r="Z7" i="7"/>
  <c r="Y20" i="7"/>
  <c r="Z18" i="3"/>
  <c r="U12" i="4"/>
  <c r="T13" i="4"/>
  <c r="U17" i="7" l="1"/>
  <c r="V4" i="7"/>
  <c r="S23" i="7"/>
  <c r="T10" i="7"/>
  <c r="V2" i="2"/>
  <c r="U2" i="6"/>
  <c r="U2" i="9"/>
  <c r="U2" i="4"/>
  <c r="U2" i="3"/>
  <c r="U2" i="7"/>
  <c r="S9" i="6"/>
  <c r="R14" i="6"/>
  <c r="S24" i="6"/>
  <c r="D18" i="10"/>
  <c r="AA18" i="3"/>
  <c r="S18" i="7"/>
  <c r="T5" i="7"/>
  <c r="U16" i="4"/>
  <c r="S22" i="7"/>
  <c r="T9" i="7"/>
  <c r="T10" i="4"/>
  <c r="U9" i="4"/>
  <c r="AA7" i="7"/>
  <c r="Z20" i="7"/>
  <c r="U13" i="4"/>
  <c r="V12" i="4"/>
  <c r="AF19" i="7"/>
  <c r="AG6" i="7"/>
  <c r="U25" i="7"/>
  <c r="V12" i="7"/>
  <c r="U10" i="7" l="1"/>
  <c r="T23" i="7"/>
  <c r="V17" i="7"/>
  <c r="W4" i="7"/>
  <c r="W2" i="2"/>
  <c r="V2" i="3"/>
  <c r="V2" i="4"/>
  <c r="V2" i="7"/>
  <c r="V2" i="9"/>
  <c r="V2" i="6"/>
  <c r="S14" i="6"/>
  <c r="T9" i="6"/>
  <c r="T18" i="7"/>
  <c r="U5" i="7"/>
  <c r="T24" i="6"/>
  <c r="V16" i="4"/>
  <c r="AG19" i="7"/>
  <c r="AH6" i="7"/>
  <c r="AA20" i="7"/>
  <c r="AB7" i="7"/>
  <c r="V9" i="4"/>
  <c r="U10" i="4"/>
  <c r="AB18" i="3"/>
  <c r="V25" i="7"/>
  <c r="W12" i="7"/>
  <c r="V13" i="4"/>
  <c r="W12" i="4"/>
  <c r="U9" i="7"/>
  <c r="T22" i="7"/>
  <c r="X4" i="7" l="1"/>
  <c r="W17" i="7"/>
  <c r="X2" i="2"/>
  <c r="W2" i="9"/>
  <c r="W2" i="6"/>
  <c r="W2" i="3"/>
  <c r="W2" i="7"/>
  <c r="W2" i="4"/>
  <c r="V10" i="7"/>
  <c r="U23" i="7"/>
  <c r="U9" i="6"/>
  <c r="T14" i="6"/>
  <c r="AI6" i="7"/>
  <c r="AH19" i="7"/>
  <c r="W9" i="4"/>
  <c r="V10" i="4"/>
  <c r="U22" i="7"/>
  <c r="V9" i="7"/>
  <c r="X12" i="7"/>
  <c r="W25" i="7"/>
  <c r="AB20" i="7"/>
  <c r="AC7" i="7"/>
  <c r="W16" i="4"/>
  <c r="V5" i="7"/>
  <c r="U18" i="7"/>
  <c r="X12" i="4"/>
  <c r="W13" i="4"/>
  <c r="AC18" i="3"/>
  <c r="U24" i="6"/>
  <c r="Y2" i="2" l="1"/>
  <c r="X2" i="7"/>
  <c r="X2" i="6"/>
  <c r="X2" i="4"/>
  <c r="X2" i="9"/>
  <c r="X2" i="3"/>
  <c r="W10" i="7"/>
  <c r="V23" i="7"/>
  <c r="Y4" i="7"/>
  <c r="X17" i="7"/>
  <c r="V9" i="6"/>
  <c r="U14" i="6"/>
  <c r="Y12" i="4"/>
  <c r="X13" i="4"/>
  <c r="X16" i="4"/>
  <c r="V24" i="6"/>
  <c r="W10" i="4"/>
  <c r="X9" i="4"/>
  <c r="AI19" i="7"/>
  <c r="AJ6" i="7"/>
  <c r="AD18" i="3"/>
  <c r="Y12" i="7"/>
  <c r="X25" i="7"/>
  <c r="W5" i="7"/>
  <c r="V18" i="7"/>
  <c r="AD7" i="7"/>
  <c r="AC20" i="7"/>
  <c r="V22" i="7"/>
  <c r="W9" i="7"/>
  <c r="W23" i="7" l="1"/>
  <c r="X10" i="7"/>
  <c r="Y17" i="7"/>
  <c r="Z4" i="7"/>
  <c r="Z2" i="2"/>
  <c r="Y2" i="7"/>
  <c r="Y2" i="3"/>
  <c r="Y2" i="4"/>
  <c r="Y2" i="6"/>
  <c r="Y2" i="9"/>
  <c r="W9" i="6"/>
  <c r="V14" i="6"/>
  <c r="Y25" i="7"/>
  <c r="Z12" i="7"/>
  <c r="Y13" i="4"/>
  <c r="Z12" i="4"/>
  <c r="W18" i="7"/>
  <c r="X5" i="7"/>
  <c r="AE7" i="7"/>
  <c r="AD20" i="7"/>
  <c r="X10" i="4"/>
  <c r="Y9" i="4"/>
  <c r="W22" i="7"/>
  <c r="X9" i="7"/>
  <c r="W24" i="6"/>
  <c r="AE18" i="3"/>
  <c r="AJ19" i="7"/>
  <c r="AK6" i="7"/>
  <c r="Y16" i="4"/>
  <c r="Z17" i="7" l="1"/>
  <c r="AA4" i="7"/>
  <c r="X23" i="7"/>
  <c r="Y10" i="7"/>
  <c r="AB2" i="2"/>
  <c r="Z2" i="3"/>
  <c r="Z2" i="6"/>
  <c r="Z2" i="4"/>
  <c r="Z2" i="9"/>
  <c r="Z2" i="7"/>
  <c r="W14" i="6"/>
  <c r="X9" i="6"/>
  <c r="Z13" i="4"/>
  <c r="AA12" i="4"/>
  <c r="Z16" i="4"/>
  <c r="Y9" i="7"/>
  <c r="X22" i="7"/>
  <c r="Z9" i="4"/>
  <c r="Y10" i="4"/>
  <c r="X24" i="6"/>
  <c r="AE20" i="7"/>
  <c r="AF7" i="7"/>
  <c r="X18" i="7"/>
  <c r="Y5" i="7"/>
  <c r="AL6" i="7"/>
  <c r="AK19" i="7"/>
  <c r="AF18" i="3"/>
  <c r="Z25" i="7"/>
  <c r="AA12" i="7"/>
  <c r="Y23" i="7" l="1"/>
  <c r="Z10" i="7"/>
  <c r="AB4" i="7"/>
  <c r="AA17" i="7"/>
  <c r="AC2" i="2"/>
  <c r="AB2" i="7"/>
  <c r="AB2" i="6"/>
  <c r="AB2" i="4"/>
  <c r="AB2" i="9"/>
  <c r="AB2" i="3"/>
  <c r="X14" i="6"/>
  <c r="Y9" i="6"/>
  <c r="Z5" i="7"/>
  <c r="Y18" i="7"/>
  <c r="AA9" i="4"/>
  <c r="Z10" i="4"/>
  <c r="AB12" i="7"/>
  <c r="AA25" i="7"/>
  <c r="Y24" i="6"/>
  <c r="AB12" i="4"/>
  <c r="AA13" i="4"/>
  <c r="AA16" i="4"/>
  <c r="AG18" i="3"/>
  <c r="AM6" i="7"/>
  <c r="AL19" i="7"/>
  <c r="AF20" i="7"/>
  <c r="AG7" i="7"/>
  <c r="Y22" i="7"/>
  <c r="Z9" i="7"/>
  <c r="AA10" i="7" l="1"/>
  <c r="Z23" i="7"/>
  <c r="AC4" i="7"/>
  <c r="AB17" i="7"/>
  <c r="AD2" i="2"/>
  <c r="AC2" i="9"/>
  <c r="AC2" i="6"/>
  <c r="AC2" i="7"/>
  <c r="AC2" i="3"/>
  <c r="AC2" i="4"/>
  <c r="Y14" i="6"/>
  <c r="Z9" i="6"/>
  <c r="AC12" i="7"/>
  <c r="AB25" i="7"/>
  <c r="AH7" i="7"/>
  <c r="AG20" i="7"/>
  <c r="Z22" i="7"/>
  <c r="AA9" i="7"/>
  <c r="AA5" i="7"/>
  <c r="Z18" i="7"/>
  <c r="AC12" i="4"/>
  <c r="AB13" i="4"/>
  <c r="Z24" i="6"/>
  <c r="AA10" i="4"/>
  <c r="AB9" i="4"/>
  <c r="AM19" i="7"/>
  <c r="AN6" i="7"/>
  <c r="AH18" i="3"/>
  <c r="AB16" i="4"/>
  <c r="AD4" i="7" l="1"/>
  <c r="AC17" i="7"/>
  <c r="AE2" i="2"/>
  <c r="AD2" i="3"/>
  <c r="AD2" i="7"/>
  <c r="AD2" i="4"/>
  <c r="AD2" i="6"/>
  <c r="AD2" i="9"/>
  <c r="AB10" i="7"/>
  <c r="AA23" i="7"/>
  <c r="Z14" i="6"/>
  <c r="AA9" i="6"/>
  <c r="AB10" i="4"/>
  <c r="AC9" i="4"/>
  <c r="AA24" i="6"/>
  <c r="AH20" i="7"/>
  <c r="AI7" i="7"/>
  <c r="AA18" i="7"/>
  <c r="AB5" i="7"/>
  <c r="AC16" i="4"/>
  <c r="AC13" i="4"/>
  <c r="AD12" i="4"/>
  <c r="AC25" i="7"/>
  <c r="AD12" i="7"/>
  <c r="AI18" i="3"/>
  <c r="AN19" i="7"/>
  <c r="AO6" i="7"/>
  <c r="AB9" i="7"/>
  <c r="AA22" i="7"/>
  <c r="AF2" i="2" l="1"/>
  <c r="AE2" i="6"/>
  <c r="AE2" i="3"/>
  <c r="AE2" i="9"/>
  <c r="AE2" i="4"/>
  <c r="AE2" i="7"/>
  <c r="AB23" i="7"/>
  <c r="AC10" i="7"/>
  <c r="AE4" i="7"/>
  <c r="AD17" i="7"/>
  <c r="AA14" i="6"/>
  <c r="AB9" i="6"/>
  <c r="AD9" i="4"/>
  <c r="AC10" i="4"/>
  <c r="AD25" i="7"/>
  <c r="AE12" i="7"/>
  <c r="AD13" i="4"/>
  <c r="AE12" i="4"/>
  <c r="AD16" i="4"/>
  <c r="AB24" i="6"/>
  <c r="AP6" i="7"/>
  <c r="AO19" i="7"/>
  <c r="AC9" i="7"/>
  <c r="AB22" i="7"/>
  <c r="AB18" i="7"/>
  <c r="AC5" i="7"/>
  <c r="AJ18" i="3"/>
  <c r="AI20" i="7"/>
  <c r="AJ7" i="7"/>
  <c r="AD10" i="7" l="1"/>
  <c r="AC23" i="7"/>
  <c r="AE17" i="7"/>
  <c r="AF4" i="7"/>
  <c r="AG2" i="2"/>
  <c r="AF2" i="7"/>
  <c r="AF2" i="6"/>
  <c r="AF2" i="4"/>
  <c r="AF2" i="9"/>
  <c r="AF2" i="3"/>
  <c r="AC9" i="6"/>
  <c r="AB14" i="6"/>
  <c r="AE9" i="4"/>
  <c r="AD10" i="4"/>
  <c r="AK7" i="7"/>
  <c r="AJ20" i="7"/>
  <c r="AK18" i="3"/>
  <c r="AF12" i="7"/>
  <c r="AE25" i="7"/>
  <c r="AC22" i="7"/>
  <c r="AD9" i="7"/>
  <c r="AC24" i="6"/>
  <c r="AE16" i="4"/>
  <c r="AD5" i="7"/>
  <c r="AC18" i="7"/>
  <c r="AQ6" i="7"/>
  <c r="AP19" i="7"/>
  <c r="AF12" i="4"/>
  <c r="AE13" i="4"/>
  <c r="AG4" i="7" l="1"/>
  <c r="AF17" i="7"/>
  <c r="AH2" i="2"/>
  <c r="AG2" i="4"/>
  <c r="AG2" i="7"/>
  <c r="AG2" i="9"/>
  <c r="AG2" i="3"/>
  <c r="AG2" i="6"/>
  <c r="AE10" i="7"/>
  <c r="AD23" i="7"/>
  <c r="AC14" i="6"/>
  <c r="AD9" i="6"/>
  <c r="AK20" i="7"/>
  <c r="AL7" i="7"/>
  <c r="AR6" i="7"/>
  <c r="AQ19" i="7"/>
  <c r="AD24" i="6"/>
  <c r="AE10" i="4"/>
  <c r="AF9" i="4"/>
  <c r="AF16" i="4"/>
  <c r="AD22" i="7"/>
  <c r="AE9" i="7"/>
  <c r="AL18" i="3"/>
  <c r="AF13" i="4"/>
  <c r="AG12" i="4"/>
  <c r="AE5" i="7"/>
  <c r="AD18" i="7"/>
  <c r="AF25" i="7"/>
  <c r="AG12" i="7"/>
  <c r="AI2" i="2" l="1"/>
  <c r="AH2" i="3"/>
  <c r="AH2" i="9"/>
  <c r="AH2" i="7"/>
  <c r="AH2" i="6"/>
  <c r="AH2" i="4"/>
  <c r="AE23" i="7"/>
  <c r="AF10" i="7"/>
  <c r="AG17" i="7"/>
  <c r="AH4" i="7"/>
  <c r="AD14" i="6"/>
  <c r="AE9" i="6"/>
  <c r="AR19" i="7"/>
  <c r="AS6" i="7"/>
  <c r="AG13" i="4"/>
  <c r="AH12" i="4"/>
  <c r="AF9" i="7"/>
  <c r="AE22" i="7"/>
  <c r="AG25" i="7"/>
  <c r="AH12" i="7"/>
  <c r="AF10" i="4"/>
  <c r="AG9" i="4"/>
  <c r="AE24" i="6"/>
  <c r="AM18" i="3"/>
  <c r="E18" i="10"/>
  <c r="AE18" i="7"/>
  <c r="AF5" i="7"/>
  <c r="AG16" i="4"/>
  <c r="AL20" i="7"/>
  <c r="AM7" i="7"/>
  <c r="AG10" i="7" l="1"/>
  <c r="AF23" i="7"/>
  <c r="AI4" i="7"/>
  <c r="AH17" i="7"/>
  <c r="AJ2" i="2"/>
  <c r="AI2" i="7"/>
  <c r="AI2" i="6"/>
  <c r="AI2" i="4"/>
  <c r="AI2" i="3"/>
  <c r="AI2" i="9"/>
  <c r="AE14" i="6"/>
  <c r="AF9" i="6"/>
  <c r="AF24" i="6"/>
  <c r="AI12" i="7"/>
  <c r="AH25" i="7"/>
  <c r="AN7" i="7"/>
  <c r="AM20" i="7"/>
  <c r="AN18" i="3"/>
  <c r="AF22" i="7"/>
  <c r="AG9" i="7"/>
  <c r="AI12" i="4"/>
  <c r="AH13" i="4"/>
  <c r="AT6" i="7"/>
  <c r="AS19" i="7"/>
  <c r="AH16" i="4"/>
  <c r="AF18" i="7"/>
  <c r="AG5" i="7"/>
  <c r="AH9" i="4"/>
  <c r="AG10" i="4"/>
  <c r="AI17" i="7" l="1"/>
  <c r="AJ4" i="7"/>
  <c r="AK2" i="2"/>
  <c r="AJ2" i="7"/>
  <c r="AJ2" i="6"/>
  <c r="AJ2" i="4"/>
  <c r="AJ2" i="9"/>
  <c r="AJ2" i="3"/>
  <c r="AG23" i="7"/>
  <c r="AH10" i="7"/>
  <c r="AG9" i="6"/>
  <c r="AF14" i="6"/>
  <c r="AI25" i="7"/>
  <c r="AJ12" i="7"/>
  <c r="AH10" i="4"/>
  <c r="AI9" i="4"/>
  <c r="AU6" i="7"/>
  <c r="AT19" i="7"/>
  <c r="AO18" i="3"/>
  <c r="AG24" i="6"/>
  <c r="AH5" i="7"/>
  <c r="AG18" i="7"/>
  <c r="AG22" i="7"/>
  <c r="AH9" i="7"/>
  <c r="AI16" i="4"/>
  <c r="AI13" i="4"/>
  <c r="AJ12" i="4"/>
  <c r="AO7" i="7"/>
  <c r="AN20" i="7"/>
  <c r="AL2" i="2" l="1"/>
  <c r="AK2" i="6"/>
  <c r="AK2" i="3"/>
  <c r="AK2" i="4"/>
  <c r="AK2" i="9"/>
  <c r="AK2" i="7"/>
  <c r="AH23" i="7"/>
  <c r="AI10" i="7"/>
  <c r="AJ17" i="7"/>
  <c r="AK4" i="7"/>
  <c r="AG14" i="6"/>
  <c r="AH9" i="6"/>
  <c r="AJ13" i="4"/>
  <c r="AK12" i="4"/>
  <c r="AH24" i="6"/>
  <c r="AV6" i="7"/>
  <c r="AU19" i="7"/>
  <c r="AJ25" i="7"/>
  <c r="AK12" i="7"/>
  <c r="AI10" i="4"/>
  <c r="AJ9" i="4"/>
  <c r="AJ16" i="4"/>
  <c r="AH18" i="7"/>
  <c r="AI5" i="7"/>
  <c r="AO20" i="7"/>
  <c r="AP7" i="7"/>
  <c r="AI9" i="7"/>
  <c r="AH22" i="7"/>
  <c r="AP18" i="3"/>
  <c r="AI23" i="7" l="1"/>
  <c r="AJ10" i="7"/>
  <c r="AL4" i="7"/>
  <c r="AK17" i="7"/>
  <c r="AM2" i="2"/>
  <c r="AL2" i="3"/>
  <c r="AL2" i="4"/>
  <c r="AL2" i="9"/>
  <c r="AL2" i="7"/>
  <c r="AL2" i="6"/>
  <c r="AI9" i="6"/>
  <c r="AH14" i="6"/>
  <c r="AP20" i="7"/>
  <c r="AQ7" i="7"/>
  <c r="AJ9" i="7"/>
  <c r="AI22" i="7"/>
  <c r="AW6" i="7"/>
  <c r="AV19" i="7"/>
  <c r="AQ18" i="3"/>
  <c r="AK16" i="4"/>
  <c r="AL12" i="7"/>
  <c r="AK25" i="7"/>
  <c r="AI24" i="6"/>
  <c r="AI18" i="7"/>
  <c r="AJ5" i="7"/>
  <c r="AK9" i="4"/>
  <c r="AJ10" i="4"/>
  <c r="AL12" i="4"/>
  <c r="AK13" i="4"/>
  <c r="AM4" i="7" l="1"/>
  <c r="AL17" i="7"/>
  <c r="AK10" i="7"/>
  <c r="AJ23" i="7"/>
  <c r="AN2" i="2"/>
  <c r="AM2" i="9"/>
  <c r="AM2" i="6"/>
  <c r="AM2" i="7"/>
  <c r="AM2" i="4"/>
  <c r="AM2" i="3"/>
  <c r="AI14" i="6"/>
  <c r="AJ9" i="6"/>
  <c r="AR18" i="3"/>
  <c r="AJ22" i="7"/>
  <c r="AK9" i="7"/>
  <c r="AL16" i="4"/>
  <c r="AM12" i="4"/>
  <c r="AL13" i="4"/>
  <c r="AM12" i="7"/>
  <c r="AL25" i="7"/>
  <c r="AX6" i="7"/>
  <c r="AW19" i="7"/>
  <c r="AK10" i="4"/>
  <c r="AL9" i="4"/>
  <c r="AK5" i="7"/>
  <c r="AJ18" i="7"/>
  <c r="AJ24" i="6"/>
  <c r="AQ20" i="7"/>
  <c r="AR7" i="7"/>
  <c r="AK23" i="7" l="1"/>
  <c r="AL10" i="7"/>
  <c r="AO2" i="2"/>
  <c r="AN2" i="7"/>
  <c r="AN2" i="6"/>
  <c r="AN2" i="4"/>
  <c r="AN2" i="9"/>
  <c r="AN2" i="3"/>
  <c r="AM17" i="7"/>
  <c r="AN4" i="7"/>
  <c r="AJ14" i="6"/>
  <c r="AK9" i="6"/>
  <c r="AK24" i="6"/>
  <c r="AS18" i="3"/>
  <c r="AX19" i="7"/>
  <c r="AY6" i="7"/>
  <c r="AM16" i="4"/>
  <c r="AL9" i="7"/>
  <c r="AK22" i="7"/>
  <c r="AS7" i="7"/>
  <c r="AR20" i="7"/>
  <c r="AK18" i="7"/>
  <c r="AL5" i="7"/>
  <c r="AL10" i="4"/>
  <c r="AM9" i="4"/>
  <c r="AM25" i="7"/>
  <c r="AN12" i="7"/>
  <c r="AM13" i="4"/>
  <c r="AN12" i="4"/>
  <c r="AN17" i="7" l="1"/>
  <c r="AO4" i="7"/>
  <c r="AM10" i="7"/>
  <c r="AL23" i="7"/>
  <c r="AP2" i="2"/>
  <c r="AO2" i="7"/>
  <c r="AO2" i="3"/>
  <c r="AO2" i="4"/>
  <c r="AO2" i="6"/>
  <c r="AO2" i="9"/>
  <c r="AK14" i="6"/>
  <c r="AL9" i="6"/>
  <c r="AY19" i="7"/>
  <c r="AZ6" i="7"/>
  <c r="AN25" i="7"/>
  <c r="AO12" i="7"/>
  <c r="AS20" i="7"/>
  <c r="AT7" i="7"/>
  <c r="AM9" i="7"/>
  <c r="AL22" i="7"/>
  <c r="AT18" i="3"/>
  <c r="AL24" i="6"/>
  <c r="AN13" i="4"/>
  <c r="AO12" i="4"/>
  <c r="AL18" i="7"/>
  <c r="AM5" i="7"/>
  <c r="AN9" i="4"/>
  <c r="AM10" i="4"/>
  <c r="AN16" i="4"/>
  <c r="AP4" i="7" l="1"/>
  <c r="AO17" i="7"/>
  <c r="AM23" i="7"/>
  <c r="AN10" i="7"/>
  <c r="AQ2" i="2"/>
  <c r="AP2" i="3"/>
  <c r="AP2" i="6"/>
  <c r="AP2" i="9"/>
  <c r="AP2" i="4"/>
  <c r="AP2" i="7"/>
  <c r="AL14" i="6"/>
  <c r="AM9" i="6"/>
  <c r="AO16" i="4"/>
  <c r="AP12" i="7"/>
  <c r="AO25" i="7"/>
  <c r="AM22" i="7"/>
  <c r="AN9" i="7"/>
  <c r="BA6" i="7"/>
  <c r="AZ19" i="7"/>
  <c r="AO9" i="4"/>
  <c r="AN10" i="4"/>
  <c r="AN5" i="7"/>
  <c r="AM18" i="7"/>
  <c r="AP12" i="4"/>
  <c r="AO13" i="4"/>
  <c r="AM24" i="6"/>
  <c r="AU18" i="3"/>
  <c r="AT20" i="7"/>
  <c r="AU7" i="7"/>
  <c r="AO10" i="7" l="1"/>
  <c r="AN23" i="7"/>
  <c r="AR2" i="2"/>
  <c r="AQ2" i="7"/>
  <c r="AQ2" i="4"/>
  <c r="AQ2" i="3"/>
  <c r="AQ2" i="9"/>
  <c r="AQ2" i="6"/>
  <c r="AQ4" i="7"/>
  <c r="AP17" i="7"/>
  <c r="AM14" i="6"/>
  <c r="AN9" i="6"/>
  <c r="AQ12" i="7"/>
  <c r="AP25" i="7"/>
  <c r="AQ12" i="4"/>
  <c r="AP13" i="4"/>
  <c r="AO10" i="4"/>
  <c r="AP9" i="4"/>
  <c r="AV18" i="3"/>
  <c r="AN24" i="6"/>
  <c r="BB6" i="7"/>
  <c r="BA19" i="7"/>
  <c r="AU20" i="7"/>
  <c r="AV7" i="7"/>
  <c r="AO5" i="7"/>
  <c r="AN18" i="7"/>
  <c r="AN22" i="7"/>
  <c r="AO9" i="7"/>
  <c r="AP16" i="4"/>
  <c r="AS2" i="2" l="1"/>
  <c r="AR2" i="7"/>
  <c r="AR2" i="6"/>
  <c r="AR2" i="4"/>
  <c r="AR2" i="9"/>
  <c r="AR2" i="3"/>
  <c r="AQ17" i="7"/>
  <c r="AR4" i="7"/>
  <c r="AP10" i="7"/>
  <c r="AO23" i="7"/>
  <c r="AO9" i="6"/>
  <c r="AN14" i="6"/>
  <c r="AR12" i="7"/>
  <c r="AQ25" i="7"/>
  <c r="AO18" i="7"/>
  <c r="AP5" i="7"/>
  <c r="AV20" i="7"/>
  <c r="AW7" i="7"/>
  <c r="BB19" i="7"/>
  <c r="BC6" i="7"/>
  <c r="AQ13" i="4"/>
  <c r="AR12" i="4"/>
  <c r="AO24" i="6"/>
  <c r="AP10" i="4"/>
  <c r="AQ9" i="4"/>
  <c r="AQ16" i="4"/>
  <c r="AP9" i="7"/>
  <c r="AO22" i="7"/>
  <c r="AW18" i="3"/>
  <c r="AR17" i="7" l="1"/>
  <c r="AS4" i="7"/>
  <c r="AQ10" i="7"/>
  <c r="AP23" i="7"/>
  <c r="AT2" i="2"/>
  <c r="AS2" i="9"/>
  <c r="AS2" i="7"/>
  <c r="AS2" i="6"/>
  <c r="AS2" i="3"/>
  <c r="AS2" i="4"/>
  <c r="AP9" i="6"/>
  <c r="AO14" i="6"/>
  <c r="AP24" i="6"/>
  <c r="BC19" i="7"/>
  <c r="BD6" i="7"/>
  <c r="AW20" i="7"/>
  <c r="AX7" i="7"/>
  <c r="AR9" i="4"/>
  <c r="AQ10" i="4"/>
  <c r="AP18" i="7"/>
  <c r="AQ5" i="7"/>
  <c r="AR16" i="4"/>
  <c r="AX18" i="3"/>
  <c r="AQ9" i="7"/>
  <c r="AP22" i="7"/>
  <c r="AR25" i="7"/>
  <c r="AS12" i="7"/>
  <c r="AR13" i="4"/>
  <c r="AS12" i="4"/>
  <c r="AR10" i="7" l="1"/>
  <c r="AQ23" i="7"/>
  <c r="AT4" i="7"/>
  <c r="AS17" i="7"/>
  <c r="AU2" i="2"/>
  <c r="AT2" i="3"/>
  <c r="AT2" i="7"/>
  <c r="AT2" i="6"/>
  <c r="AT2" i="4"/>
  <c r="AT2" i="9"/>
  <c r="AP14" i="6"/>
  <c r="AQ9" i="6"/>
  <c r="AS9" i="4"/>
  <c r="AR10" i="4"/>
  <c r="AQ22" i="7"/>
  <c r="AR9" i="7"/>
  <c r="AQ24" i="6"/>
  <c r="AS16" i="4"/>
  <c r="AY7" i="7"/>
  <c r="AX20" i="7"/>
  <c r="AR5" i="7"/>
  <c r="AQ18" i="7"/>
  <c r="AT12" i="7"/>
  <c r="AS25" i="7"/>
  <c r="AT12" i="4"/>
  <c r="AS13" i="4"/>
  <c r="AY18" i="3"/>
  <c r="F18" i="10"/>
  <c r="BE6" i="7"/>
  <c r="BD19" i="7"/>
  <c r="AU4" i="7" l="1"/>
  <c r="AT17" i="7"/>
  <c r="AV2" i="2"/>
  <c r="AU2" i="7"/>
  <c r="AU2" i="6"/>
  <c r="AU2" i="3"/>
  <c r="AU2" i="4"/>
  <c r="AU2" i="9"/>
  <c r="AS10" i="7"/>
  <c r="AR23" i="7"/>
  <c r="AQ14" i="6"/>
  <c r="AR9" i="6"/>
  <c r="AT16" i="4"/>
  <c r="AU12" i="4"/>
  <c r="AT13" i="4"/>
  <c r="AU12" i="7"/>
  <c r="AT25" i="7"/>
  <c r="AT9" i="4"/>
  <c r="AS10" i="4"/>
  <c r="AR24" i="6"/>
  <c r="BF6" i="7"/>
  <c r="BE19" i="7"/>
  <c r="AZ7" i="7"/>
  <c r="AY20" i="7"/>
  <c r="AR22" i="7"/>
  <c r="AS9" i="7"/>
  <c r="AZ18" i="3"/>
  <c r="AS5" i="7"/>
  <c r="AR18" i="7"/>
  <c r="AW2" i="2" l="1"/>
  <c r="AV2" i="7"/>
  <c r="AV2" i="6"/>
  <c r="AV2" i="4"/>
  <c r="AV2" i="9"/>
  <c r="AV2" i="3"/>
  <c r="AT10" i="7"/>
  <c r="AS23" i="7"/>
  <c r="AV4" i="7"/>
  <c r="AU17" i="7"/>
  <c r="AR14" i="6"/>
  <c r="AS9" i="6"/>
  <c r="BF19" i="7"/>
  <c r="BG6" i="7"/>
  <c r="AT10" i="4"/>
  <c r="AU9" i="4"/>
  <c r="AV12" i="7"/>
  <c r="AU25" i="7"/>
  <c r="AU16" i="4"/>
  <c r="AZ20" i="7"/>
  <c r="BA7" i="7"/>
  <c r="BA18" i="3"/>
  <c r="AT5" i="7"/>
  <c r="AS18" i="7"/>
  <c r="AS22" i="7"/>
  <c r="AT9" i="7"/>
  <c r="AS24" i="6"/>
  <c r="AV12" i="4"/>
  <c r="AU13" i="4"/>
  <c r="AT23" i="7" l="1"/>
  <c r="AU10" i="7"/>
  <c r="AW4" i="7"/>
  <c r="AV17" i="7"/>
  <c r="AX2" i="2"/>
  <c r="AW2" i="7"/>
  <c r="AW2" i="4"/>
  <c r="AW2" i="9"/>
  <c r="AW2" i="3"/>
  <c r="AW2" i="6"/>
  <c r="AS14" i="6"/>
  <c r="AT9" i="6"/>
  <c r="AV16" i="4"/>
  <c r="AT24" i="6"/>
  <c r="AV13" i="4"/>
  <c r="AW12" i="4"/>
  <c r="AT18" i="7"/>
  <c r="AU5" i="7"/>
  <c r="AV25" i="7"/>
  <c r="AW12" i="7"/>
  <c r="BG19" i="7"/>
  <c r="BH6" i="7"/>
  <c r="BA20" i="7"/>
  <c r="BB7" i="7"/>
  <c r="AU9" i="7"/>
  <c r="AT22" i="7"/>
  <c r="BB18" i="3"/>
  <c r="AV9" i="4"/>
  <c r="AU10" i="4"/>
  <c r="C7" i="6" s="1"/>
  <c r="C13" i="6" s="1"/>
  <c r="AW17" i="7" l="1"/>
  <c r="AX4" i="7"/>
  <c r="D3" i="6"/>
  <c r="D5" i="6" s="1"/>
  <c r="C11" i="6"/>
  <c r="AV10" i="7"/>
  <c r="AU23" i="7"/>
  <c r="AZ2" i="2"/>
  <c r="AX2" i="3"/>
  <c r="AX2" i="9"/>
  <c r="AX2" i="6"/>
  <c r="AX2" i="4"/>
  <c r="AX2" i="7"/>
  <c r="AT14" i="6"/>
  <c r="AU9" i="6"/>
  <c r="AU24" i="6"/>
  <c r="AV10" i="4"/>
  <c r="AW9" i="4"/>
  <c r="BC7" i="7"/>
  <c r="BB20" i="7"/>
  <c r="AX12" i="7"/>
  <c r="AW25" i="7"/>
  <c r="BI6" i="7"/>
  <c r="BH19" i="7"/>
  <c r="AX12" i="4"/>
  <c r="AW13" i="4"/>
  <c r="AU22" i="7"/>
  <c r="AV9" i="7"/>
  <c r="BC18" i="3"/>
  <c r="AV5" i="7"/>
  <c r="AU18" i="7"/>
  <c r="AW16" i="4"/>
  <c r="D7" i="6" l="1"/>
  <c r="D13" i="6" s="1"/>
  <c r="AV23" i="7"/>
  <c r="AW10" i="7"/>
  <c r="D18" i="4"/>
  <c r="D19" i="6"/>
  <c r="BA2" i="2"/>
  <c r="AZ2" i="7"/>
  <c r="AZ2" i="6"/>
  <c r="AZ2" i="4"/>
  <c r="AZ2" i="9"/>
  <c r="AZ2" i="3"/>
  <c r="AY4" i="7"/>
  <c r="AX17" i="7"/>
  <c r="AU14" i="6"/>
  <c r="AV9" i="6"/>
  <c r="AV18" i="7"/>
  <c r="AW5" i="7"/>
  <c r="AW9" i="7"/>
  <c r="AV22" i="7"/>
  <c r="AW10" i="4"/>
  <c r="AX9" i="4"/>
  <c r="AX25" i="7"/>
  <c r="AY12" i="7"/>
  <c r="AV24" i="6"/>
  <c r="BD18" i="3"/>
  <c r="AX16" i="4"/>
  <c r="BJ6" i="7"/>
  <c r="BJ19" i="7" s="1"/>
  <c r="BI19" i="7"/>
  <c r="BD7" i="7"/>
  <c r="BC20" i="7"/>
  <c r="AX13" i="4"/>
  <c r="AY12" i="4"/>
  <c r="D11" i="6" l="1"/>
  <c r="E3" i="6"/>
  <c r="E5" i="6" s="1"/>
  <c r="D25" i="6"/>
  <c r="AW23" i="7"/>
  <c r="AX10" i="7"/>
  <c r="BB2" i="2"/>
  <c r="BA2" i="6"/>
  <c r="BA2" i="3"/>
  <c r="BA2" i="9"/>
  <c r="BA2" i="7"/>
  <c r="BA2" i="4"/>
  <c r="AZ4" i="7"/>
  <c r="AY17" i="7"/>
  <c r="AW9" i="6"/>
  <c r="AV14" i="6"/>
  <c r="BD20" i="7"/>
  <c r="BE7" i="7"/>
  <c r="AY13" i="4"/>
  <c r="AZ12" i="4"/>
  <c r="BE18" i="3"/>
  <c r="AY25" i="7"/>
  <c r="AZ12" i="7"/>
  <c r="AY16" i="4"/>
  <c r="AW24" i="6"/>
  <c r="AX9" i="7"/>
  <c r="AW22" i="7"/>
  <c r="AW18" i="7"/>
  <c r="AX5" i="7"/>
  <c r="AY9" i="4"/>
  <c r="AX10" i="4"/>
  <c r="BC2" i="2" l="1"/>
  <c r="BB2" i="3"/>
  <c r="BB2" i="7"/>
  <c r="BB2" i="4"/>
  <c r="BB2" i="9"/>
  <c r="BB2" i="6"/>
  <c r="AY10" i="7"/>
  <c r="AX23" i="7"/>
  <c r="E19" i="6"/>
  <c r="E18" i="4"/>
  <c r="BA4" i="7"/>
  <c r="AZ17" i="7"/>
  <c r="AW14" i="6"/>
  <c r="AX9" i="6"/>
  <c r="AX22" i="7"/>
  <c r="AY9" i="7"/>
  <c r="BA12" i="4"/>
  <c r="AZ13" i="4"/>
  <c r="BF18" i="3"/>
  <c r="BE20" i="7"/>
  <c r="BF7" i="7"/>
  <c r="AZ9" i="4"/>
  <c r="AY10" i="4"/>
  <c r="AY5" i="7"/>
  <c r="AX18" i="7"/>
  <c r="AZ16" i="4"/>
  <c r="BA12" i="7"/>
  <c r="AZ25" i="7"/>
  <c r="AX24" i="6"/>
  <c r="E25" i="6" l="1"/>
  <c r="AZ10" i="7"/>
  <c r="AY23" i="7"/>
  <c r="BB4" i="7"/>
  <c r="BA17" i="7"/>
  <c r="BD2" i="2"/>
  <c r="BC2" i="7"/>
  <c r="BC2" i="9"/>
  <c r="BC2" i="6"/>
  <c r="BC2" i="4"/>
  <c r="BC2" i="3"/>
  <c r="AY9" i="6"/>
  <c r="AX14" i="6"/>
  <c r="AY24" i="6"/>
  <c r="AZ5" i="7"/>
  <c r="AY18" i="7"/>
  <c r="BA16" i="4"/>
  <c r="BB12" i="4"/>
  <c r="BA13" i="4"/>
  <c r="AZ10" i="4"/>
  <c r="BA9" i="4"/>
  <c r="BG7" i="7"/>
  <c r="BF20" i="7"/>
  <c r="BG18" i="3"/>
  <c r="AY22" i="7"/>
  <c r="AZ9" i="7"/>
  <c r="BB12" i="7"/>
  <c r="BA25" i="7"/>
  <c r="C22" i="3" l="1"/>
  <c r="C23" i="3" s="1"/>
  <c r="C29" i="9"/>
  <c r="C25" i="3"/>
  <c r="C26" i="3" s="1"/>
  <c r="BA10" i="7"/>
  <c r="AZ23" i="7"/>
  <c r="F19" i="6"/>
  <c r="F18" i="4"/>
  <c r="BE2" i="2"/>
  <c r="BD2" i="7"/>
  <c r="BD2" i="6"/>
  <c r="BD2" i="4"/>
  <c r="BD2" i="9"/>
  <c r="BD2" i="3"/>
  <c r="BB17" i="7"/>
  <c r="BC4" i="7"/>
  <c r="AZ9" i="6"/>
  <c r="AY14" i="6"/>
  <c r="BB13" i="4"/>
  <c r="BC12" i="4"/>
  <c r="BH18" i="3"/>
  <c r="AZ18" i="7"/>
  <c r="BA5" i="7"/>
  <c r="BB25" i="7"/>
  <c r="BC12" i="7"/>
  <c r="BG20" i="7"/>
  <c r="BH7" i="7"/>
  <c r="BA9" i="7"/>
  <c r="AZ22" i="7"/>
  <c r="BB16" i="4"/>
  <c r="AZ24" i="6"/>
  <c r="BA10" i="4"/>
  <c r="BB9" i="4"/>
  <c r="BD4" i="7" l="1"/>
  <c r="BC17" i="7"/>
  <c r="D22" i="3"/>
  <c r="D23" i="3" s="1"/>
  <c r="F25" i="6"/>
  <c r="BF2" i="2"/>
  <c r="BE2" i="3"/>
  <c r="BE2" i="6"/>
  <c r="BE2" i="4"/>
  <c r="BE2" i="9"/>
  <c r="BE2" i="7"/>
  <c r="BB10" i="7"/>
  <c r="BA23" i="7"/>
  <c r="BA9" i="6"/>
  <c r="AZ14" i="6"/>
  <c r="BA24" i="6"/>
  <c r="BH20" i="7"/>
  <c r="BI7" i="7"/>
  <c r="BC13" i="4"/>
  <c r="BD12" i="4"/>
  <c r="BC9" i="4"/>
  <c r="BB10" i="4"/>
  <c r="BA18" i="7"/>
  <c r="BB5" i="7"/>
  <c r="BC16" i="4"/>
  <c r="BB9" i="7"/>
  <c r="BA22" i="7"/>
  <c r="BC25" i="7"/>
  <c r="BD12" i="7"/>
  <c r="BI18" i="3"/>
  <c r="G18" i="4" l="1"/>
  <c r="D29" i="3"/>
  <c r="D31" i="3" s="1"/>
  <c r="D32" i="3" s="1"/>
  <c r="D33" i="3" s="1"/>
  <c r="D34" i="3" s="1"/>
  <c r="D26" i="3" s="1"/>
  <c r="BE4" i="7"/>
  <c r="BD17" i="7"/>
  <c r="BG2" i="2"/>
  <c r="BF2" i="3"/>
  <c r="BF2" i="6"/>
  <c r="BF2" i="4"/>
  <c r="BF2" i="7"/>
  <c r="BF2" i="9"/>
  <c r="BC10" i="7"/>
  <c r="BB23" i="7"/>
  <c r="BA14" i="6"/>
  <c r="BB9" i="6"/>
  <c r="BI20" i="7"/>
  <c r="BJ7" i="7"/>
  <c r="BJ20" i="7" s="1"/>
  <c r="BC5" i="7"/>
  <c r="BB18" i="7"/>
  <c r="BB24" i="6"/>
  <c r="BJ18" i="3"/>
  <c r="BD16" i="4"/>
  <c r="BE12" i="7"/>
  <c r="BD25" i="7"/>
  <c r="BB22" i="7"/>
  <c r="BC9" i="7"/>
  <c r="BD9" i="4"/>
  <c r="BC10" i="4"/>
  <c r="BE12" i="4"/>
  <c r="BD13" i="4"/>
  <c r="D29" i="9" l="1"/>
  <c r="G19" i="6"/>
  <c r="G25" i="6"/>
  <c r="BH2" i="2"/>
  <c r="BG2" i="7"/>
  <c r="BG2" i="4"/>
  <c r="BG2" i="3"/>
  <c r="BG2" i="9"/>
  <c r="BG2" i="6"/>
  <c r="BC23" i="7"/>
  <c r="BD10" i="7"/>
  <c r="BE17" i="7"/>
  <c r="BF4" i="7"/>
  <c r="BB14" i="6"/>
  <c r="BC9" i="6"/>
  <c r="G18" i="10"/>
  <c r="BC22" i="7"/>
  <c r="BD9" i="7"/>
  <c r="BF12" i="4"/>
  <c r="BE13" i="4"/>
  <c r="BE16" i="4"/>
  <c r="BC24" i="6"/>
  <c r="BD5" i="7"/>
  <c r="BC18" i="7"/>
  <c r="BD10" i="4"/>
  <c r="BE9" i="4"/>
  <c r="BF12" i="7"/>
  <c r="BE25" i="7"/>
  <c r="BI2" i="2" l="1"/>
  <c r="BH2" i="7"/>
  <c r="BH2" i="6"/>
  <c r="BH2" i="4"/>
  <c r="BH2" i="9"/>
  <c r="BH2" i="3"/>
  <c r="BF17" i="7"/>
  <c r="BG4" i="7"/>
  <c r="BE10" i="7"/>
  <c r="BD23" i="7"/>
  <c r="BD9" i="6"/>
  <c r="BC14" i="6"/>
  <c r="BE9" i="7"/>
  <c r="BD22" i="7"/>
  <c r="BD18" i="7"/>
  <c r="BE5" i="7"/>
  <c r="BD24" i="6"/>
  <c r="BF13" i="4"/>
  <c r="BG12" i="4"/>
  <c r="BF25" i="7"/>
  <c r="BG12" i="7"/>
  <c r="BE10" i="4"/>
  <c r="BF9" i="4"/>
  <c r="BF16" i="4"/>
  <c r="BJ2" i="2" l="1"/>
  <c r="BI2" i="9"/>
  <c r="BI2" i="6"/>
  <c r="BI2" i="7"/>
  <c r="BI2" i="4"/>
  <c r="BI2" i="3"/>
  <c r="BE23" i="7"/>
  <c r="BF10" i="7"/>
  <c r="BG17" i="7"/>
  <c r="BH4" i="7"/>
  <c r="BD14" i="6"/>
  <c r="BE9" i="6"/>
  <c r="BG16" i="4"/>
  <c r="BG13" i="4"/>
  <c r="BH12" i="4"/>
  <c r="BE24" i="6"/>
  <c r="BG9" i="4"/>
  <c r="BF10" i="4"/>
  <c r="BE18" i="7"/>
  <c r="BF5" i="7"/>
  <c r="BG25" i="7"/>
  <c r="BH12" i="7"/>
  <c r="BF9" i="7"/>
  <c r="BE22" i="7"/>
  <c r="BJ2" i="3" l="1"/>
  <c r="BJ2" i="7"/>
  <c r="BJ2" i="4"/>
  <c r="BJ2" i="6"/>
  <c r="BJ2" i="9"/>
  <c r="BG10" i="7"/>
  <c r="BF23" i="7"/>
  <c r="BI4" i="7"/>
  <c r="BH17" i="7"/>
  <c r="BE14" i="6"/>
  <c r="BF9" i="6"/>
  <c r="BG5" i="7"/>
  <c r="BF18" i="7"/>
  <c r="BF22" i="7"/>
  <c r="BG9" i="7"/>
  <c r="BH25" i="7"/>
  <c r="BI12" i="7"/>
  <c r="BH9" i="4"/>
  <c r="BG10" i="4"/>
  <c r="BF24" i="6"/>
  <c r="BH13" i="4"/>
  <c r="BI12" i="4"/>
  <c r="BH16" i="4"/>
  <c r="BH10" i="7" l="1"/>
  <c r="BG23" i="7"/>
  <c r="BJ4" i="7"/>
  <c r="BJ17" i="7" s="1"/>
  <c r="BI17" i="7"/>
  <c r="BF14" i="6"/>
  <c r="BG9" i="6"/>
  <c r="BG24" i="6"/>
  <c r="BH10" i="4"/>
  <c r="BI9" i="4"/>
  <c r="BG22" i="7"/>
  <c r="BH9" i="7"/>
  <c r="BH5" i="7"/>
  <c r="BG18" i="7"/>
  <c r="BJ12" i="4"/>
  <c r="BJ13" i="4" s="1"/>
  <c r="BI13" i="4"/>
  <c r="BJ12" i="7"/>
  <c r="BJ25" i="7" s="1"/>
  <c r="BI25" i="7"/>
  <c r="BI16" i="4"/>
  <c r="BI10" i="7" l="1"/>
  <c r="BH23" i="7"/>
  <c r="BG14" i="6"/>
  <c r="BH9" i="6"/>
  <c r="BH22" i="7"/>
  <c r="BI9" i="7"/>
  <c r="BH24" i="6"/>
  <c r="BH18" i="7"/>
  <c r="BI5" i="7"/>
  <c r="BJ16" i="4"/>
  <c r="BI10" i="4"/>
  <c r="BJ9" i="4"/>
  <c r="BJ10" i="4" s="1"/>
  <c r="BI23" i="7" l="1"/>
  <c r="BJ10" i="7"/>
  <c r="BJ23" i="7" s="1"/>
  <c r="BI9" i="6"/>
  <c r="BH14" i="6"/>
  <c r="BJ9" i="7"/>
  <c r="BJ22" i="7" s="1"/>
  <c r="BI22" i="7"/>
  <c r="BI18" i="7"/>
  <c r="BJ5" i="7"/>
  <c r="BI24" i="6"/>
  <c r="BJ9" i="6" l="1"/>
  <c r="BJ14" i="6" s="1"/>
  <c r="BI14" i="6"/>
  <c r="BJ24" i="6"/>
  <c r="BJ18" i="7"/>
  <c r="E7" i="6"/>
  <c r="F3" i="6" l="1"/>
  <c r="F5" i="6" s="1"/>
  <c r="E13" i="6"/>
  <c r="E11" i="6"/>
  <c r="F7" i="6"/>
  <c r="F13" i="6" s="1"/>
  <c r="F11" i="6" l="1"/>
  <c r="G3" i="6"/>
  <c r="G5" i="6" s="1"/>
  <c r="G7" i="6" l="1"/>
  <c r="G13" i="6" s="1"/>
  <c r="G11" i="6" l="1"/>
  <c r="H15" i="4"/>
  <c r="H3" i="6"/>
  <c r="H6" i="6" l="1"/>
  <c r="H4" i="6"/>
  <c r="H18" i="4"/>
  <c r="H17" i="6"/>
  <c r="H19" i="6" s="1"/>
  <c r="H6" i="2" s="1"/>
  <c r="H7" i="6" l="1"/>
  <c r="H15" i="6" s="1"/>
  <c r="H5" i="2" s="1"/>
  <c r="E22" i="3"/>
  <c r="E23" i="3" s="1"/>
  <c r="H13" i="2"/>
  <c r="H22" i="6"/>
  <c r="H25" i="6" s="1"/>
  <c r="H7" i="2" s="1"/>
  <c r="H11" i="2"/>
  <c r="I15" i="4" l="1"/>
  <c r="I17" i="6" s="1"/>
  <c r="I19" i="6" s="1"/>
  <c r="I6" i="2" s="1"/>
  <c r="H11" i="6"/>
  <c r="H4" i="2" s="1"/>
  <c r="H8" i="2" s="1"/>
  <c r="H13" i="7"/>
  <c r="H14" i="7" s="1"/>
  <c r="I3" i="6"/>
  <c r="I6" i="6" s="1"/>
  <c r="I4" i="6"/>
  <c r="F22" i="3"/>
  <c r="F23" i="3" s="1"/>
  <c r="E29" i="9"/>
  <c r="H6" i="3" l="1"/>
  <c r="H7" i="9"/>
  <c r="H12" i="2"/>
  <c r="H14" i="2" s="1"/>
  <c r="H26" i="7"/>
  <c r="H28" i="7" s="1"/>
  <c r="H29" i="7" s="1"/>
  <c r="H30" i="7" s="1"/>
  <c r="H26" i="2" s="1"/>
  <c r="I7" i="6"/>
  <c r="I15" i="6" s="1"/>
  <c r="I5" i="2" s="1"/>
  <c r="I18" i="4"/>
  <c r="I22" i="6" s="1"/>
  <c r="I25" i="6" s="1"/>
  <c r="I7" i="2" s="1"/>
  <c r="I13" i="2"/>
  <c r="H27" i="2"/>
  <c r="H32" i="2"/>
  <c r="H31" i="2"/>
  <c r="H30" i="2"/>
  <c r="H28" i="2"/>
  <c r="H38" i="2"/>
  <c r="H6" i="9"/>
  <c r="H16" i="2" l="1"/>
  <c r="H23" i="2" s="1"/>
  <c r="H12" i="3"/>
  <c r="J3" i="6"/>
  <c r="I11" i="6"/>
  <c r="I4" i="2" s="1"/>
  <c r="I12" i="2" s="1"/>
  <c r="I13" i="7"/>
  <c r="I26" i="7" s="1"/>
  <c r="I28" i="7" s="1"/>
  <c r="J15" i="4"/>
  <c r="J17" i="6" s="1"/>
  <c r="J19" i="6" s="1"/>
  <c r="J6" i="2" s="1"/>
  <c r="I11" i="2"/>
  <c r="H33" i="2"/>
  <c r="H35" i="2" s="1"/>
  <c r="H19" i="3" s="1"/>
  <c r="H9" i="9"/>
  <c r="E25" i="3"/>
  <c r="E29" i="3"/>
  <c r="E31" i="3" s="1"/>
  <c r="H14" i="9"/>
  <c r="F29" i="9"/>
  <c r="G22" i="3"/>
  <c r="G23" i="3" s="1"/>
  <c r="J6" i="6"/>
  <c r="J4" i="6" l="1"/>
  <c r="J7" i="6" s="1"/>
  <c r="K15" i="4" s="1"/>
  <c r="I8" i="2"/>
  <c r="I6" i="3" s="1"/>
  <c r="J18" i="4"/>
  <c r="J22" i="6" s="1"/>
  <c r="J25" i="6" s="1"/>
  <c r="J7" i="2" s="1"/>
  <c r="I14" i="2"/>
  <c r="I14" i="7"/>
  <c r="I32" i="2" s="1"/>
  <c r="J13" i="2"/>
  <c r="H37" i="2"/>
  <c r="H12" i="9"/>
  <c r="H20" i="3"/>
  <c r="I6" i="9"/>
  <c r="I29" i="7"/>
  <c r="I30" i="7" s="1"/>
  <c r="I26" i="2" s="1"/>
  <c r="F29" i="3"/>
  <c r="F31" i="3" s="1"/>
  <c r="F25" i="3"/>
  <c r="H13" i="9"/>
  <c r="H15" i="3"/>
  <c r="E32" i="3"/>
  <c r="E33" i="3" s="1"/>
  <c r="E34" i="3" s="1"/>
  <c r="J11" i="2" l="1"/>
  <c r="I31" i="2"/>
  <c r="I5" i="3"/>
  <c r="I7" i="9" s="1"/>
  <c r="I9" i="9" s="1"/>
  <c r="I16" i="2"/>
  <c r="I23" i="2" s="1"/>
  <c r="I38" i="2"/>
  <c r="I30" i="2"/>
  <c r="I28" i="2"/>
  <c r="I27" i="2"/>
  <c r="I33" i="2" s="1"/>
  <c r="J13" i="7"/>
  <c r="J14" i="7" s="1"/>
  <c r="K3" i="6"/>
  <c r="K6" i="6" s="1"/>
  <c r="J15" i="6"/>
  <c r="J5" i="2" s="1"/>
  <c r="J11" i="6"/>
  <c r="J4" i="2" s="1"/>
  <c r="J12" i="2" s="1"/>
  <c r="J14" i="2" s="1"/>
  <c r="H3" i="9"/>
  <c r="G29" i="9"/>
  <c r="E26" i="3"/>
  <c r="K4" i="6"/>
  <c r="K17" i="6"/>
  <c r="K19" i="6" s="1"/>
  <c r="K6" i="2" s="1"/>
  <c r="K18" i="4"/>
  <c r="G29" i="3"/>
  <c r="G31" i="3" s="1"/>
  <c r="G25" i="3"/>
  <c r="F32" i="3"/>
  <c r="F33" i="3" s="1"/>
  <c r="F34" i="3" s="1"/>
  <c r="H22" i="3"/>
  <c r="I14" i="9"/>
  <c r="H18" i="9"/>
  <c r="H20" i="9" s="1"/>
  <c r="I12" i="3" l="1"/>
  <c r="I13" i="9" s="1"/>
  <c r="J26" i="7"/>
  <c r="J28" i="7" s="1"/>
  <c r="J29" i="7" s="1"/>
  <c r="J30" i="7" s="1"/>
  <c r="J26" i="2" s="1"/>
  <c r="J8" i="2"/>
  <c r="J6" i="3" s="1"/>
  <c r="K7" i="6"/>
  <c r="K15" i="6" s="1"/>
  <c r="K5" i="2" s="1"/>
  <c r="I12" i="9"/>
  <c r="I37" i="2"/>
  <c r="G32" i="3"/>
  <c r="G33" i="3" s="1"/>
  <c r="G34" i="3" s="1"/>
  <c r="J38" i="2"/>
  <c r="J32" i="2"/>
  <c r="J28" i="2"/>
  <c r="J30" i="2"/>
  <c r="J31" i="2"/>
  <c r="J27" i="2"/>
  <c r="I35" i="2"/>
  <c r="I19" i="3" s="1"/>
  <c r="K22" i="6"/>
  <c r="K25" i="6" s="1"/>
  <c r="K7" i="2" s="1"/>
  <c r="K11" i="2"/>
  <c r="F26" i="3"/>
  <c r="J16" i="2"/>
  <c r="J23" i="2" s="1"/>
  <c r="K13" i="2"/>
  <c r="H27" i="9"/>
  <c r="I15" i="3" l="1"/>
  <c r="J5" i="3"/>
  <c r="J7" i="9" s="1"/>
  <c r="J6" i="9"/>
  <c r="L15" i="4"/>
  <c r="L4" i="6" s="1"/>
  <c r="K13" i="7"/>
  <c r="K26" i="7" s="1"/>
  <c r="K28" i="7" s="1"/>
  <c r="K11" i="6"/>
  <c r="K4" i="2" s="1"/>
  <c r="K12" i="2" s="1"/>
  <c r="K14" i="2" s="1"/>
  <c r="L3" i="6"/>
  <c r="L6" i="6" s="1"/>
  <c r="J33" i="2"/>
  <c r="J12" i="9" s="1"/>
  <c r="J12" i="3"/>
  <c r="J15" i="3" s="1"/>
  <c r="G26" i="3"/>
  <c r="H4" i="3"/>
  <c r="H9" i="3" s="1"/>
  <c r="H23" i="3" s="1"/>
  <c r="I3" i="9"/>
  <c r="H29" i="9"/>
  <c r="I20" i="3"/>
  <c r="L17" i="6"/>
  <c r="L19" i="6" s="1"/>
  <c r="L6" i="2" s="1"/>
  <c r="J14" i="9"/>
  <c r="I18" i="9"/>
  <c r="I20" i="9" s="1"/>
  <c r="I22" i="3" l="1"/>
  <c r="J9" i="9"/>
  <c r="K14" i="7"/>
  <c r="L18" i="4"/>
  <c r="L22" i="6" s="1"/>
  <c r="L25" i="6" s="1"/>
  <c r="L7" i="2" s="1"/>
  <c r="K8" i="2"/>
  <c r="K6" i="3" s="1"/>
  <c r="J35" i="2"/>
  <c r="J19" i="3" s="1"/>
  <c r="J20" i="3" s="1"/>
  <c r="J22" i="3" s="1"/>
  <c r="J37" i="2"/>
  <c r="L7" i="6"/>
  <c r="L11" i="6" s="1"/>
  <c r="L4" i="2" s="1"/>
  <c r="J13" i="9"/>
  <c r="J18" i="9" s="1"/>
  <c r="J20" i="9" s="1"/>
  <c r="I27" i="9"/>
  <c r="I29" i="9" s="1"/>
  <c r="K29" i="7"/>
  <c r="K30" i="7" s="1"/>
  <c r="K26" i="2" s="1"/>
  <c r="H25" i="3"/>
  <c r="H29" i="3"/>
  <c r="H31" i="3" s="1"/>
  <c r="L13" i="2"/>
  <c r="K31" i="2"/>
  <c r="K38" i="2"/>
  <c r="K27" i="2"/>
  <c r="K32" i="2"/>
  <c r="K28" i="2"/>
  <c r="K30" i="2"/>
  <c r="K5" i="3"/>
  <c r="L11" i="2"/>
  <c r="K6" i="9" l="1"/>
  <c r="K16" i="2"/>
  <c r="K23" i="2" s="1"/>
  <c r="M15" i="4"/>
  <c r="M18" i="4" s="1"/>
  <c r="K12" i="3"/>
  <c r="K13" i="9" s="1"/>
  <c r="L13" i="7"/>
  <c r="L26" i="7" s="1"/>
  <c r="L28" i="7" s="1"/>
  <c r="M3" i="6"/>
  <c r="M6" i="6" s="1"/>
  <c r="L15" i="6"/>
  <c r="L5" i="2" s="1"/>
  <c r="L8" i="2" s="1"/>
  <c r="L6" i="3" s="1"/>
  <c r="K14" i="9"/>
  <c r="H32" i="3"/>
  <c r="H33" i="3" s="1"/>
  <c r="H34" i="3" s="1"/>
  <c r="L12" i="2"/>
  <c r="L14" i="2" s="1"/>
  <c r="K33" i="2"/>
  <c r="K7" i="9"/>
  <c r="K9" i="9" s="1"/>
  <c r="I4" i="3"/>
  <c r="I9" i="3" s="1"/>
  <c r="J3" i="9"/>
  <c r="J27" i="9" s="1"/>
  <c r="K35" i="2" l="1"/>
  <c r="K19" i="3" s="1"/>
  <c r="K15" i="3"/>
  <c r="M17" i="6"/>
  <c r="M19" i="6" s="1"/>
  <c r="M6" i="2" s="1"/>
  <c r="M13" i="2" s="1"/>
  <c r="M4" i="6"/>
  <c r="M7" i="6" s="1"/>
  <c r="M11" i="6" s="1"/>
  <c r="M4" i="2" s="1"/>
  <c r="L14" i="7"/>
  <c r="L31" i="2" s="1"/>
  <c r="K20" i="3"/>
  <c r="K22" i="3" s="1"/>
  <c r="H26" i="3"/>
  <c r="J4" i="3"/>
  <c r="J9" i="3" s="1"/>
  <c r="K3" i="9"/>
  <c r="J29" i="9"/>
  <c r="L29" i="7"/>
  <c r="L30" i="7" s="1"/>
  <c r="L26" i="2" s="1"/>
  <c r="L16" i="2"/>
  <c r="L23" i="2" s="1"/>
  <c r="L5" i="3"/>
  <c r="L6" i="9"/>
  <c r="I29" i="3"/>
  <c r="I31" i="3" s="1"/>
  <c r="I25" i="3"/>
  <c r="K37" i="2"/>
  <c r="K12" i="9"/>
  <c r="M22" i="6"/>
  <c r="M25" i="6" s="1"/>
  <c r="M7" i="2" s="1"/>
  <c r="M11" i="2"/>
  <c r="L32" i="2" l="1"/>
  <c r="L28" i="2"/>
  <c r="L27" i="2"/>
  <c r="L38" i="2"/>
  <c r="L30" i="2"/>
  <c r="M15" i="6"/>
  <c r="M5" i="2" s="1"/>
  <c r="M8" i="2" s="1"/>
  <c r="M6" i="3" s="1"/>
  <c r="N15" i="4"/>
  <c r="N18" i="4" s="1"/>
  <c r="N3" i="6"/>
  <c r="N6" i="6" s="1"/>
  <c r="M13" i="7"/>
  <c r="M14" i="7" s="1"/>
  <c r="L14" i="9"/>
  <c r="J25" i="3"/>
  <c r="J29" i="3"/>
  <c r="J31" i="3" s="1"/>
  <c r="I32" i="3"/>
  <c r="I33" i="3" s="1"/>
  <c r="I34" i="3" s="1"/>
  <c r="K18" i="9"/>
  <c r="K20" i="9" s="1"/>
  <c r="K27" i="9" s="1"/>
  <c r="M12" i="2"/>
  <c r="M14" i="2" s="1"/>
  <c r="L7" i="9"/>
  <c r="L9" i="9" s="1"/>
  <c r="L12" i="3" l="1"/>
  <c r="L13" i="9" s="1"/>
  <c r="L33" i="2"/>
  <c r="L37" i="2" s="1"/>
  <c r="N17" i="6"/>
  <c r="N19" i="6" s="1"/>
  <c r="N6" i="2" s="1"/>
  <c r="N13" i="2" s="1"/>
  <c r="C13" i="8" s="1"/>
  <c r="M26" i="7"/>
  <c r="M28" i="7" s="1"/>
  <c r="M29" i="7" s="1"/>
  <c r="M30" i="7" s="1"/>
  <c r="M26" i="2" s="1"/>
  <c r="N4" i="6"/>
  <c r="N7" i="6" s="1"/>
  <c r="O15" i="4" s="1"/>
  <c r="I26" i="3"/>
  <c r="K29" i="9"/>
  <c r="M38" i="2"/>
  <c r="M31" i="2"/>
  <c r="M27" i="2"/>
  <c r="M30" i="2"/>
  <c r="M32" i="2"/>
  <c r="M28" i="2"/>
  <c r="N22" i="6"/>
  <c r="N25" i="6" s="1"/>
  <c r="N7" i="2" s="1"/>
  <c r="C7" i="8" s="1"/>
  <c r="N11" i="2"/>
  <c r="M16" i="2"/>
  <c r="M23" i="2" s="1"/>
  <c r="M6" i="9"/>
  <c r="M5" i="3"/>
  <c r="K4" i="3"/>
  <c r="K9" i="3" s="1"/>
  <c r="L3" i="9"/>
  <c r="J32" i="3"/>
  <c r="J33" i="3" s="1"/>
  <c r="J34" i="3" s="1"/>
  <c r="L35" i="2" l="1"/>
  <c r="L19" i="3" s="1"/>
  <c r="L20" i="3" s="1"/>
  <c r="C6" i="8"/>
  <c r="L12" i="9"/>
  <c r="L18" i="9" s="1"/>
  <c r="L20" i="9" s="1"/>
  <c r="L27" i="9" s="1"/>
  <c r="L4" i="3" s="1"/>
  <c r="L9" i="3" s="1"/>
  <c r="L15" i="3"/>
  <c r="N11" i="6"/>
  <c r="N4" i="2" s="1"/>
  <c r="N12" i="2" s="1"/>
  <c r="C12" i="8" s="1"/>
  <c r="N13" i="7"/>
  <c r="N26" i="7" s="1"/>
  <c r="N28" i="7" s="1"/>
  <c r="O3" i="6"/>
  <c r="O6" i="6" s="1"/>
  <c r="N15" i="6"/>
  <c r="N5" i="2" s="1"/>
  <c r="C5" i="8" s="1"/>
  <c r="M33" i="2"/>
  <c r="M12" i="9" s="1"/>
  <c r="M12" i="3"/>
  <c r="M13" i="9" s="1"/>
  <c r="J26" i="3"/>
  <c r="M7" i="9"/>
  <c r="M9" i="9" s="1"/>
  <c r="O4" i="6"/>
  <c r="O17" i="6"/>
  <c r="O19" i="6" s="1"/>
  <c r="O6" i="2" s="1"/>
  <c r="O18" i="4"/>
  <c r="C11" i="8"/>
  <c r="K25" i="3"/>
  <c r="K29" i="3"/>
  <c r="K31" i="3" s="1"/>
  <c r="M14" i="9"/>
  <c r="N14" i="7" l="1"/>
  <c r="L22" i="3"/>
  <c r="C4" i="8"/>
  <c r="C8" i="8" s="1"/>
  <c r="M37" i="2"/>
  <c r="M35" i="2"/>
  <c r="M19" i="3" s="1"/>
  <c r="M20" i="3" s="1"/>
  <c r="N8" i="2"/>
  <c r="N6" i="3" s="1"/>
  <c r="M3" i="9"/>
  <c r="M15" i="3"/>
  <c r="L29" i="9"/>
  <c r="O7" i="6"/>
  <c r="P15" i="4" s="1"/>
  <c r="N29" i="7"/>
  <c r="N30" i="7" s="1"/>
  <c r="N26" i="2" s="1"/>
  <c r="N31" i="2"/>
  <c r="C31" i="8" s="1"/>
  <c r="N28" i="2"/>
  <c r="C28" i="8" s="1"/>
  <c r="N32" i="2"/>
  <c r="C32" i="8" s="1"/>
  <c r="N27" i="2"/>
  <c r="C27" i="8" s="1"/>
  <c r="N30" i="2"/>
  <c r="C30" i="8" s="1"/>
  <c r="N38" i="2"/>
  <c r="C35" i="8" s="1"/>
  <c r="K32" i="3"/>
  <c r="K33" i="3" s="1"/>
  <c r="K34" i="3" s="1"/>
  <c r="C14" i="8"/>
  <c r="O11" i="2"/>
  <c r="O22" i="6"/>
  <c r="O25" i="6" s="1"/>
  <c r="O7" i="2" s="1"/>
  <c r="N14" i="2"/>
  <c r="O13" i="2"/>
  <c r="M18" i="9"/>
  <c r="M20" i="9" s="1"/>
  <c r="L25" i="3"/>
  <c r="L29" i="3"/>
  <c r="L31" i="3" s="1"/>
  <c r="N5" i="3" l="1"/>
  <c r="C16" i="8"/>
  <c r="C23" i="8" s="1"/>
  <c r="N6" i="9"/>
  <c r="C6" i="11" s="1"/>
  <c r="N16" i="2"/>
  <c r="N23" i="2" s="1"/>
  <c r="M22" i="3"/>
  <c r="O11" i="6"/>
  <c r="O4" i="2" s="1"/>
  <c r="O12" i="2" s="1"/>
  <c r="O14" i="2" s="1"/>
  <c r="O15" i="6"/>
  <c r="O5" i="2" s="1"/>
  <c r="O13" i="7"/>
  <c r="O14" i="7" s="1"/>
  <c r="P3" i="6"/>
  <c r="P6" i="6" s="1"/>
  <c r="K26" i="3"/>
  <c r="M27" i="9"/>
  <c r="M29" i="9" s="1"/>
  <c r="N33" i="2"/>
  <c r="N35" i="2" s="1"/>
  <c r="N19" i="3" s="1"/>
  <c r="C26" i="8"/>
  <c r="C33" i="8" s="1"/>
  <c r="L32" i="3"/>
  <c r="L33" i="3" s="1"/>
  <c r="L34" i="3" s="1"/>
  <c r="C14" i="11"/>
  <c r="C6" i="10"/>
  <c r="N14" i="9"/>
  <c r="N12" i="3"/>
  <c r="C7" i="11"/>
  <c r="C5" i="10"/>
  <c r="N7" i="9"/>
  <c r="P4" i="6"/>
  <c r="P18" i="4"/>
  <c r="P17" i="6"/>
  <c r="P19" i="6" s="1"/>
  <c r="P6" i="2" s="1"/>
  <c r="N9" i="9" l="1"/>
  <c r="C36" i="8"/>
  <c r="N37" i="2"/>
  <c r="O8" i="2"/>
  <c r="O6" i="3" s="1"/>
  <c r="N12" i="9"/>
  <c r="O26" i="7"/>
  <c r="O28" i="7" s="1"/>
  <c r="O29" i="7" s="1"/>
  <c r="O30" i="7" s="1"/>
  <c r="O26" i="2" s="1"/>
  <c r="P7" i="6"/>
  <c r="P13" i="7" s="1"/>
  <c r="C19" i="10"/>
  <c r="N20" i="3"/>
  <c r="L26" i="3"/>
  <c r="P22" i="6"/>
  <c r="P25" i="6" s="1"/>
  <c r="P7" i="2" s="1"/>
  <c r="P11" i="2"/>
  <c r="C13" i="11"/>
  <c r="N13" i="9"/>
  <c r="C12" i="10"/>
  <c r="N15" i="3"/>
  <c r="C15" i="10" s="1"/>
  <c r="C9" i="11"/>
  <c r="P13" i="2"/>
  <c r="O38" i="2"/>
  <c r="O32" i="2"/>
  <c r="O30" i="2"/>
  <c r="O31" i="2"/>
  <c r="O28" i="2"/>
  <c r="O27" i="2"/>
  <c r="M4" i="3"/>
  <c r="M9" i="3" s="1"/>
  <c r="N3" i="9"/>
  <c r="N18" i="9" l="1"/>
  <c r="N20" i="9" s="1"/>
  <c r="N27" i="9" s="1"/>
  <c r="N29" i="9" s="1"/>
  <c r="C12" i="11"/>
  <c r="C18" i="11" s="1"/>
  <c r="O5" i="3"/>
  <c r="O7" i="9" s="1"/>
  <c r="O6" i="9"/>
  <c r="O16" i="2"/>
  <c r="O23" i="2" s="1"/>
  <c r="P11" i="6"/>
  <c r="P4" i="2" s="1"/>
  <c r="P12" i="2" s="1"/>
  <c r="P14" i="2" s="1"/>
  <c r="Q15" i="4"/>
  <c r="Q17" i="6" s="1"/>
  <c r="Q19" i="6" s="1"/>
  <c r="Q6" i="2" s="1"/>
  <c r="O12" i="3"/>
  <c r="O13" i="9" s="1"/>
  <c r="Q3" i="6"/>
  <c r="Q6" i="6" s="1"/>
  <c r="P15" i="6"/>
  <c r="P5" i="2" s="1"/>
  <c r="P8" i="2" s="1"/>
  <c r="P6" i="3" s="1"/>
  <c r="O33" i="2"/>
  <c r="O14" i="9"/>
  <c r="C20" i="10"/>
  <c r="N22" i="3"/>
  <c r="C22" i="10" s="1"/>
  <c r="P14" i="7"/>
  <c r="P26" i="7"/>
  <c r="P28" i="7" s="1"/>
  <c r="M25" i="3"/>
  <c r="M29" i="3"/>
  <c r="M31" i="3" s="1"/>
  <c r="Q4" i="6" l="1"/>
  <c r="Q7" i="6" s="1"/>
  <c r="Q11" i="6" s="1"/>
  <c r="Q4" i="2" s="1"/>
  <c r="O9" i="9"/>
  <c r="Q18" i="4"/>
  <c r="Q22" i="6" s="1"/>
  <c r="Q25" i="6" s="1"/>
  <c r="Q7" i="2" s="1"/>
  <c r="O35" i="2"/>
  <c r="O19" i="3" s="1"/>
  <c r="O20" i="3" s="1"/>
  <c r="O15" i="3"/>
  <c r="M32" i="3"/>
  <c r="M33" i="3" s="1"/>
  <c r="M34" i="3" s="1"/>
  <c r="O37" i="2"/>
  <c r="O12" i="9"/>
  <c r="P29" i="7"/>
  <c r="P30" i="7" s="1"/>
  <c r="P26" i="2" s="1"/>
  <c r="Q13" i="2"/>
  <c r="C27" i="11"/>
  <c r="N4" i="3"/>
  <c r="O3" i="9"/>
  <c r="C29" i="11"/>
  <c r="P28" i="2"/>
  <c r="P38" i="2"/>
  <c r="P31" i="2"/>
  <c r="P32" i="2"/>
  <c r="P27" i="2"/>
  <c r="P30" i="2"/>
  <c r="P5" i="3"/>
  <c r="P6" i="9"/>
  <c r="P16" i="2"/>
  <c r="P23" i="2" s="1"/>
  <c r="Q11" i="2" l="1"/>
  <c r="R3" i="6"/>
  <c r="R6" i="6" s="1"/>
  <c r="O22" i="3"/>
  <c r="Q15" i="6"/>
  <c r="Q5" i="2" s="1"/>
  <c r="Q8" i="2" s="1"/>
  <c r="Q6" i="3" s="1"/>
  <c r="Q13" i="7"/>
  <c r="Q14" i="7" s="1"/>
  <c r="R15" i="4"/>
  <c r="R18" i="4" s="1"/>
  <c r="C4" i="10"/>
  <c r="N9" i="3"/>
  <c r="P33" i="2"/>
  <c r="P35" i="2" s="1"/>
  <c r="P19" i="3" s="1"/>
  <c r="M26" i="3"/>
  <c r="Q12" i="2"/>
  <c r="P7" i="9"/>
  <c r="P9" i="9" s="1"/>
  <c r="P14" i="9"/>
  <c r="O18" i="9"/>
  <c r="O20" i="9" s="1"/>
  <c r="O27" i="9" s="1"/>
  <c r="P12" i="3"/>
  <c r="D3" i="11"/>
  <c r="Q14" i="2" l="1"/>
  <c r="Q26" i="7"/>
  <c r="Q28" i="7" s="1"/>
  <c r="Q29" i="7" s="1"/>
  <c r="Q30" i="7" s="1"/>
  <c r="Q26" i="2" s="1"/>
  <c r="R4" i="6"/>
  <c r="R7" i="6" s="1"/>
  <c r="R17" i="6"/>
  <c r="R19" i="6" s="1"/>
  <c r="R6" i="2" s="1"/>
  <c r="R13" i="2" s="1"/>
  <c r="Q28" i="2"/>
  <c r="Q38" i="2"/>
  <c r="Q30" i="2"/>
  <c r="Q32" i="2"/>
  <c r="Q27" i="2"/>
  <c r="Q31" i="2"/>
  <c r="O4" i="3"/>
  <c r="O9" i="3" s="1"/>
  <c r="P3" i="9"/>
  <c r="P20" i="3"/>
  <c r="P37" i="2"/>
  <c r="P12" i="9"/>
  <c r="C9" i="10"/>
  <c r="N29" i="3"/>
  <c r="N31" i="3" s="1"/>
  <c r="N25" i="3"/>
  <c r="P13" i="9"/>
  <c r="P15" i="3"/>
  <c r="O29" i="9"/>
  <c r="Q6" i="9"/>
  <c r="Q5" i="3"/>
  <c r="Q16" i="2"/>
  <c r="Q23" i="2" s="1"/>
  <c r="R22" i="6"/>
  <c r="R25" i="6" s="1"/>
  <c r="R7" i="2" s="1"/>
  <c r="R11" i="2"/>
  <c r="R11" i="6" l="1"/>
  <c r="R4" i="2" s="1"/>
  <c r="R12" i="2" s="1"/>
  <c r="R14" i="2" s="1"/>
  <c r="S3" i="6"/>
  <c r="S6" i="6" s="1"/>
  <c r="S15" i="4"/>
  <c r="S18" i="4" s="1"/>
  <c r="R15" i="6"/>
  <c r="R5" i="2" s="1"/>
  <c r="R13" i="7"/>
  <c r="R14" i="7" s="1"/>
  <c r="Q12" i="3"/>
  <c r="Q15" i="3" s="1"/>
  <c r="Q33" i="2"/>
  <c r="Q35" i="2" s="1"/>
  <c r="Q19" i="3" s="1"/>
  <c r="N32" i="3"/>
  <c r="N33" i="3" s="1"/>
  <c r="N34" i="3" s="1"/>
  <c r="P22" i="3"/>
  <c r="Q14" i="9"/>
  <c r="Q7" i="9"/>
  <c r="Q9" i="9" s="1"/>
  <c r="P18" i="9"/>
  <c r="P20" i="9" s="1"/>
  <c r="O29" i="3"/>
  <c r="O31" i="3" s="1"/>
  <c r="O25" i="3"/>
  <c r="R8" i="2" l="1"/>
  <c r="R6" i="3" s="1"/>
  <c r="S17" i="6"/>
  <c r="S19" i="6" s="1"/>
  <c r="S6" i="2" s="1"/>
  <c r="S13" i="2" s="1"/>
  <c r="S4" i="6"/>
  <c r="S7" i="6" s="1"/>
  <c r="R26" i="7"/>
  <c r="R28" i="7" s="1"/>
  <c r="R29" i="7" s="1"/>
  <c r="R30" i="7" s="1"/>
  <c r="R26" i="2" s="1"/>
  <c r="Q13" i="9"/>
  <c r="N26" i="3"/>
  <c r="R32" i="2"/>
  <c r="R28" i="2"/>
  <c r="R31" i="2"/>
  <c r="R27" i="2"/>
  <c r="R30" i="2"/>
  <c r="R38" i="2"/>
  <c r="Q20" i="3"/>
  <c r="Q22" i="3" s="1"/>
  <c r="Q37" i="2"/>
  <c r="Q12" i="9"/>
  <c r="O32" i="3"/>
  <c r="O33" i="3" s="1"/>
  <c r="O34" i="3" s="1"/>
  <c r="S11" i="2"/>
  <c r="S22" i="6"/>
  <c r="S25" i="6" s="1"/>
  <c r="S7" i="2" s="1"/>
  <c r="R5" i="3"/>
  <c r="R16" i="2"/>
  <c r="R23" i="2" s="1"/>
  <c r="R6" i="9"/>
  <c r="P27" i="9"/>
  <c r="P29" i="9" s="1"/>
  <c r="S13" i="7" l="1"/>
  <c r="S26" i="7" s="1"/>
  <c r="S28" i="7" s="1"/>
  <c r="S15" i="6"/>
  <c r="S5" i="2" s="1"/>
  <c r="T15" i="4"/>
  <c r="T18" i="4" s="1"/>
  <c r="S11" i="6"/>
  <c r="S4" i="2" s="1"/>
  <c r="S12" i="2" s="1"/>
  <c r="S14" i="2" s="1"/>
  <c r="T3" i="6"/>
  <c r="T6" i="6" s="1"/>
  <c r="R12" i="3"/>
  <c r="R15" i="3" s="1"/>
  <c r="O26" i="3"/>
  <c r="R33" i="2"/>
  <c r="R35" i="2" s="1"/>
  <c r="R19" i="3" s="1"/>
  <c r="P4" i="3"/>
  <c r="P9" i="3" s="1"/>
  <c r="Q3" i="9"/>
  <c r="R14" i="9"/>
  <c r="R7" i="9"/>
  <c r="R9" i="9" s="1"/>
  <c r="Q18" i="9"/>
  <c r="Q20" i="9" s="1"/>
  <c r="T17" i="6" l="1"/>
  <c r="T19" i="6" s="1"/>
  <c r="T6" i="2" s="1"/>
  <c r="T13" i="2" s="1"/>
  <c r="S14" i="7"/>
  <c r="S31" i="2" s="1"/>
  <c r="T4" i="6"/>
  <c r="T7" i="6" s="1"/>
  <c r="S8" i="2"/>
  <c r="S6" i="3" s="1"/>
  <c r="R13" i="9"/>
  <c r="R20" i="3"/>
  <c r="R22" i="3" s="1"/>
  <c r="T11" i="2"/>
  <c r="T22" i="6"/>
  <c r="T25" i="6" s="1"/>
  <c r="T7" i="2" s="1"/>
  <c r="S29" i="7"/>
  <c r="S30" i="7" s="1"/>
  <c r="S26" i="2" s="1"/>
  <c r="S27" i="2"/>
  <c r="S28" i="2"/>
  <c r="S32" i="2"/>
  <c r="S38" i="2"/>
  <c r="Q27" i="9"/>
  <c r="Q29" i="9" s="1"/>
  <c r="P25" i="3"/>
  <c r="P29" i="3"/>
  <c r="P31" i="3" s="1"/>
  <c r="R37" i="2"/>
  <c r="R12" i="9"/>
  <c r="S30" i="2" l="1"/>
  <c r="S12" i="3" s="1"/>
  <c r="S15" i="3" s="1"/>
  <c r="T13" i="7"/>
  <c r="T14" i="7" s="1"/>
  <c r="T15" i="6"/>
  <c r="T5" i="2" s="1"/>
  <c r="S5" i="3"/>
  <c r="S7" i="9" s="1"/>
  <c r="S6" i="9"/>
  <c r="S16" i="2"/>
  <c r="S23" i="2" s="1"/>
  <c r="U15" i="4"/>
  <c r="U17" i="6" s="1"/>
  <c r="U19" i="6" s="1"/>
  <c r="U6" i="2" s="1"/>
  <c r="U13" i="2" s="1"/>
  <c r="U3" i="6"/>
  <c r="U6" i="6" s="1"/>
  <c r="T11" i="6"/>
  <c r="T4" i="2" s="1"/>
  <c r="T12" i="2" s="1"/>
  <c r="T14" i="2" s="1"/>
  <c r="P32" i="3"/>
  <c r="P33" i="3" s="1"/>
  <c r="P34" i="3" s="1"/>
  <c r="S14" i="9"/>
  <c r="S33" i="2"/>
  <c r="R18" i="9"/>
  <c r="R20" i="9" s="1"/>
  <c r="Q4" i="3"/>
  <c r="Q9" i="3" s="1"/>
  <c r="R3" i="9"/>
  <c r="T8" i="2" l="1"/>
  <c r="T6" i="3" s="1"/>
  <c r="U4" i="6"/>
  <c r="U7" i="6" s="1"/>
  <c r="U15" i="6" s="1"/>
  <c r="U5" i="2" s="1"/>
  <c r="T26" i="7"/>
  <c r="T28" i="7" s="1"/>
  <c r="S9" i="9"/>
  <c r="U18" i="4"/>
  <c r="U22" i="6" s="1"/>
  <c r="U25" i="6" s="1"/>
  <c r="U7" i="2" s="1"/>
  <c r="S13" i="9"/>
  <c r="R27" i="9"/>
  <c r="R4" i="3" s="1"/>
  <c r="R9" i="3" s="1"/>
  <c r="S12" i="9"/>
  <c r="S37" i="2"/>
  <c r="T29" i="7"/>
  <c r="T30" i="7" s="1"/>
  <c r="T26" i="2" s="1"/>
  <c r="P26" i="3"/>
  <c r="T27" i="2"/>
  <c r="T31" i="2"/>
  <c r="T28" i="2"/>
  <c r="T32" i="2"/>
  <c r="T38" i="2"/>
  <c r="T30" i="2"/>
  <c r="S35" i="2"/>
  <c r="S19" i="3" s="1"/>
  <c r="Q29" i="3"/>
  <c r="Q31" i="3" s="1"/>
  <c r="Q25" i="3"/>
  <c r="T16" i="2"/>
  <c r="T23" i="2" s="1"/>
  <c r="T5" i="3"/>
  <c r="T6" i="9"/>
  <c r="U11" i="2"/>
  <c r="V15" i="4" l="1"/>
  <c r="V4" i="6" s="1"/>
  <c r="U13" i="7"/>
  <c r="U14" i="7" s="1"/>
  <c r="U11" i="6"/>
  <c r="U4" i="2" s="1"/>
  <c r="U8" i="2" s="1"/>
  <c r="U6" i="3" s="1"/>
  <c r="V3" i="6"/>
  <c r="V6" i="6" s="1"/>
  <c r="S3" i="9"/>
  <c r="R29" i="9"/>
  <c r="T12" i="3"/>
  <c r="T13" i="9" s="1"/>
  <c r="T33" i="2"/>
  <c r="T37" i="2" s="1"/>
  <c r="S18" i="9"/>
  <c r="S20" i="9" s="1"/>
  <c r="T14" i="9"/>
  <c r="V18" i="4"/>
  <c r="S20" i="3"/>
  <c r="S22" i="3" s="1"/>
  <c r="T7" i="9"/>
  <c r="T9" i="9" s="1"/>
  <c r="R25" i="3"/>
  <c r="R29" i="3"/>
  <c r="R31" i="3" s="1"/>
  <c r="Q32" i="3"/>
  <c r="Q33" i="3" s="1"/>
  <c r="Q34" i="3" s="1"/>
  <c r="V17" i="6" l="1"/>
  <c r="V19" i="6" s="1"/>
  <c r="V6" i="2" s="1"/>
  <c r="V13" i="2" s="1"/>
  <c r="U26" i="7"/>
  <c r="U28" i="7" s="1"/>
  <c r="U29" i="7" s="1"/>
  <c r="U30" i="7" s="1"/>
  <c r="U26" i="2" s="1"/>
  <c r="U12" i="2"/>
  <c r="U14" i="2" s="1"/>
  <c r="T35" i="2"/>
  <c r="T19" i="3" s="1"/>
  <c r="T20" i="3" s="1"/>
  <c r="V7" i="6"/>
  <c r="V11" i="6" s="1"/>
  <c r="V4" i="2" s="1"/>
  <c r="T12" i="9"/>
  <c r="T18" i="9" s="1"/>
  <c r="T20" i="9" s="1"/>
  <c r="T15" i="3"/>
  <c r="V22" i="6"/>
  <c r="V25" i="6" s="1"/>
  <c r="V7" i="2" s="1"/>
  <c r="V11" i="2"/>
  <c r="U32" i="2"/>
  <c r="U38" i="2"/>
  <c r="U27" i="2"/>
  <c r="U28" i="2"/>
  <c r="U31" i="2"/>
  <c r="U30" i="2"/>
  <c r="Q26" i="3"/>
  <c r="R32" i="3"/>
  <c r="R33" i="3" s="1"/>
  <c r="R34" i="3" s="1"/>
  <c r="S27" i="9"/>
  <c r="S29" i="9" s="1"/>
  <c r="U5" i="3"/>
  <c r="U16" i="2"/>
  <c r="U23" i="2" s="1"/>
  <c r="U6" i="9"/>
  <c r="V13" i="7" l="1"/>
  <c r="V14" i="7" s="1"/>
  <c r="W15" i="4"/>
  <c r="W18" i="4" s="1"/>
  <c r="U12" i="3"/>
  <c r="U15" i="3" s="1"/>
  <c r="V15" i="6"/>
  <c r="V5" i="2" s="1"/>
  <c r="V8" i="2" s="1"/>
  <c r="V6" i="3" s="1"/>
  <c r="W3" i="6"/>
  <c r="W6" i="6" s="1"/>
  <c r="T22" i="3"/>
  <c r="U33" i="2"/>
  <c r="U37" i="2" s="1"/>
  <c r="R26" i="3"/>
  <c r="U14" i="9"/>
  <c r="V12" i="2"/>
  <c r="V14" i="2" s="1"/>
  <c r="S4" i="3"/>
  <c r="S9" i="3" s="1"/>
  <c r="T3" i="9"/>
  <c r="T27" i="9" s="1"/>
  <c r="T29" i="9" s="1"/>
  <c r="U7" i="9"/>
  <c r="U9" i="9" s="1"/>
  <c r="W17" i="6" l="1"/>
  <c r="W19" i="6" s="1"/>
  <c r="W6" i="2" s="1"/>
  <c r="W13" i="2" s="1"/>
  <c r="V26" i="7"/>
  <c r="V28" i="7" s="1"/>
  <c r="V29" i="7" s="1"/>
  <c r="V30" i="7" s="1"/>
  <c r="V26" i="2" s="1"/>
  <c r="W4" i="6"/>
  <c r="W7" i="6" s="1"/>
  <c r="U13" i="9"/>
  <c r="U35" i="2"/>
  <c r="U19" i="3" s="1"/>
  <c r="U20" i="3" s="1"/>
  <c r="U22" i="3" s="1"/>
  <c r="U12" i="9"/>
  <c r="W22" i="6"/>
  <c r="W25" i="6" s="1"/>
  <c r="W7" i="2" s="1"/>
  <c r="W11" i="2"/>
  <c r="V5" i="3"/>
  <c r="V16" i="2"/>
  <c r="V23" i="2" s="1"/>
  <c r="V6" i="9"/>
  <c r="S25" i="3"/>
  <c r="S29" i="3"/>
  <c r="S31" i="3" s="1"/>
  <c r="V32" i="2"/>
  <c r="V31" i="2"/>
  <c r="V28" i="2"/>
  <c r="V27" i="2"/>
  <c r="V30" i="2"/>
  <c r="V38" i="2"/>
  <c r="T4" i="3"/>
  <c r="T9" i="3" s="1"/>
  <c r="U3" i="9"/>
  <c r="W13" i="7" l="1"/>
  <c r="W14" i="7" s="1"/>
  <c r="U18" i="9"/>
  <c r="U20" i="9" s="1"/>
  <c r="U27" i="9" s="1"/>
  <c r="X15" i="4"/>
  <c r="X18" i="4" s="1"/>
  <c r="X3" i="6"/>
  <c r="X6" i="6" s="1"/>
  <c r="W11" i="6"/>
  <c r="W4" i="2" s="1"/>
  <c r="W12" i="2" s="1"/>
  <c r="W14" i="2" s="1"/>
  <c r="W15" i="6"/>
  <c r="W5" i="2" s="1"/>
  <c r="V12" i="3"/>
  <c r="V13" i="9" s="1"/>
  <c r="V33" i="2"/>
  <c r="V35" i="2" s="1"/>
  <c r="V19" i="3" s="1"/>
  <c r="V7" i="9"/>
  <c r="V9" i="9" s="1"/>
  <c r="T29" i="3"/>
  <c r="T31" i="3" s="1"/>
  <c r="T25" i="3"/>
  <c r="S32" i="3"/>
  <c r="S33" i="3" s="1"/>
  <c r="S34" i="3" s="1"/>
  <c r="V14" i="9"/>
  <c r="W26" i="7" l="1"/>
  <c r="W28" i="7" s="1"/>
  <c r="W8" i="2"/>
  <c r="W6" i="3" s="1"/>
  <c r="X17" i="6"/>
  <c r="X19" i="6" s="1"/>
  <c r="X6" i="2" s="1"/>
  <c r="X13" i="2" s="1"/>
  <c r="X4" i="6"/>
  <c r="X7" i="6" s="1"/>
  <c r="V15" i="3"/>
  <c r="W29" i="7"/>
  <c r="W30" i="7" s="1"/>
  <c r="W26" i="2" s="1"/>
  <c r="S26" i="3"/>
  <c r="W32" i="2"/>
  <c r="W27" i="2"/>
  <c r="W31" i="2"/>
  <c r="W38" i="2"/>
  <c r="W28" i="2"/>
  <c r="W30" i="2"/>
  <c r="V20" i="3"/>
  <c r="U4" i="3"/>
  <c r="U9" i="3" s="1"/>
  <c r="V3" i="9"/>
  <c r="T32" i="3"/>
  <c r="T33" i="3" s="1"/>
  <c r="T34" i="3" s="1"/>
  <c r="V37" i="2"/>
  <c r="V12" i="9"/>
  <c r="V18" i="9" s="1"/>
  <c r="V20" i="9" s="1"/>
  <c r="X11" i="2"/>
  <c r="X22" i="6"/>
  <c r="X25" i="6" s="1"/>
  <c r="X7" i="2" s="1"/>
  <c r="U29" i="9"/>
  <c r="W5" i="3" l="1"/>
  <c r="W16" i="2"/>
  <c r="W23" i="2" s="1"/>
  <c r="W6" i="9"/>
  <c r="Y15" i="4"/>
  <c r="Y18" i="4" s="1"/>
  <c r="X15" i="6"/>
  <c r="X5" i="2" s="1"/>
  <c r="X13" i="7"/>
  <c r="X26" i="7" s="1"/>
  <c r="X28" i="7" s="1"/>
  <c r="X11" i="6"/>
  <c r="X4" i="2" s="1"/>
  <c r="X12" i="2" s="1"/>
  <c r="X14" i="2" s="1"/>
  <c r="Y3" i="6"/>
  <c r="Y6" i="6" s="1"/>
  <c r="W12" i="3"/>
  <c r="W13" i="9" s="1"/>
  <c r="V22" i="3"/>
  <c r="T26" i="3"/>
  <c r="Y4" i="6"/>
  <c r="U29" i="3"/>
  <c r="U31" i="3" s="1"/>
  <c r="U25" i="3"/>
  <c r="W14" i="9"/>
  <c r="W33" i="2"/>
  <c r="V27" i="9"/>
  <c r="W7" i="9"/>
  <c r="W9" i="9" l="1"/>
  <c r="X14" i="7"/>
  <c r="X30" i="2" s="1"/>
  <c r="Y17" i="6"/>
  <c r="Y19" i="6" s="1"/>
  <c r="Y6" i="2" s="1"/>
  <c r="Y13" i="2" s="1"/>
  <c r="X8" i="2"/>
  <c r="X6" i="3" s="1"/>
  <c r="Y7" i="6"/>
  <c r="Z15" i="4" s="1"/>
  <c r="W15" i="3"/>
  <c r="X29" i="7"/>
  <c r="X30" i="7" s="1"/>
  <c r="X26" i="2" s="1"/>
  <c r="W37" i="2"/>
  <c r="W12" i="9"/>
  <c r="W18" i="9" s="1"/>
  <c r="X27" i="2"/>
  <c r="X32" i="2"/>
  <c r="Y22" i="6"/>
  <c r="Y25" i="6" s="1"/>
  <c r="Y7" i="2" s="1"/>
  <c r="Y11" i="2"/>
  <c r="W35" i="2"/>
  <c r="W19" i="3" s="1"/>
  <c r="U32" i="3"/>
  <c r="U33" i="3" s="1"/>
  <c r="U34" i="3" s="1"/>
  <c r="V4" i="3"/>
  <c r="V9" i="3" s="1"/>
  <c r="W3" i="9"/>
  <c r="V29" i="9"/>
  <c r="X38" i="2" l="1"/>
  <c r="X28" i="2"/>
  <c r="X31" i="2"/>
  <c r="W20" i="9"/>
  <c r="W27" i="9" s="1"/>
  <c r="W4" i="3" s="1"/>
  <c r="W9" i="3" s="1"/>
  <c r="Y15" i="6"/>
  <c r="Y5" i="2" s="1"/>
  <c r="X6" i="9"/>
  <c r="X16" i="2"/>
  <c r="X23" i="2" s="1"/>
  <c r="X5" i="3"/>
  <c r="X7" i="9" s="1"/>
  <c r="Y11" i="6"/>
  <c r="Y4" i="2" s="1"/>
  <c r="Y8" i="2" s="1"/>
  <c r="Y6" i="3" s="1"/>
  <c r="Z3" i="6"/>
  <c r="Z6" i="6" s="1"/>
  <c r="Y13" i="7"/>
  <c r="Y26" i="7" s="1"/>
  <c r="Y28" i="7" s="1"/>
  <c r="X12" i="3"/>
  <c r="X15" i="3" s="1"/>
  <c r="U26" i="3"/>
  <c r="V29" i="3"/>
  <c r="V31" i="3" s="1"/>
  <c r="V25" i="3"/>
  <c r="Z4" i="6"/>
  <c r="Z17" i="6"/>
  <c r="Z19" i="6" s="1"/>
  <c r="Z6" i="2" s="1"/>
  <c r="Z18" i="4"/>
  <c r="W20" i="3"/>
  <c r="W22" i="3" s="1"/>
  <c r="X14" i="9"/>
  <c r="Y12" i="2" l="1"/>
  <c r="Y14" i="2" s="1"/>
  <c r="X33" i="2"/>
  <c r="X35" i="2" s="1"/>
  <c r="X19" i="3" s="1"/>
  <c r="X20" i="3" s="1"/>
  <c r="X22" i="3" s="1"/>
  <c r="Y14" i="7"/>
  <c r="Y28" i="2" s="1"/>
  <c r="X9" i="9"/>
  <c r="X13" i="9"/>
  <c r="W29" i="9"/>
  <c r="X3" i="9"/>
  <c r="Z7" i="6"/>
  <c r="Z11" i="6" s="1"/>
  <c r="Z4" i="2" s="1"/>
  <c r="Y29" i="7"/>
  <c r="Y30" i="7" s="1"/>
  <c r="Y26" i="2" s="1"/>
  <c r="Y5" i="3"/>
  <c r="Y16" i="2"/>
  <c r="Y23" i="2" s="1"/>
  <c r="Y6" i="9"/>
  <c r="Y38" i="2"/>
  <c r="Z11" i="2"/>
  <c r="Z22" i="6"/>
  <c r="Z25" i="6" s="1"/>
  <c r="Z7" i="2" s="1"/>
  <c r="D7" i="8" s="1"/>
  <c r="V32" i="3"/>
  <c r="V33" i="3" s="1"/>
  <c r="V34" i="3" s="1"/>
  <c r="Z13" i="2"/>
  <c r="D13" i="8" s="1"/>
  <c r="D6" i="8"/>
  <c r="X37" i="2"/>
  <c r="X12" i="9"/>
  <c r="W29" i="3"/>
  <c r="W31" i="3" s="1"/>
  <c r="W25" i="3"/>
  <c r="Y32" i="2" l="1"/>
  <c r="Y31" i="2"/>
  <c r="Y30" i="2"/>
  <c r="Y27" i="2"/>
  <c r="X18" i="9"/>
  <c r="X20" i="9" s="1"/>
  <c r="X27" i="9" s="1"/>
  <c r="AA3" i="6"/>
  <c r="AA6" i="6" s="1"/>
  <c r="AA15" i="4"/>
  <c r="AA18" i="4" s="1"/>
  <c r="Z15" i="6"/>
  <c r="Z5" i="2" s="1"/>
  <c r="D5" i="8" s="1"/>
  <c r="Y33" i="2"/>
  <c r="Y12" i="9" s="1"/>
  <c r="Z13" i="7"/>
  <c r="Z26" i="7" s="1"/>
  <c r="Z28" i="7" s="1"/>
  <c r="Y12" i="3"/>
  <c r="Y15" i="3" s="1"/>
  <c r="Y7" i="9"/>
  <c r="Y9" i="9" s="1"/>
  <c r="Z12" i="2"/>
  <c r="D12" i="8" s="1"/>
  <c r="D4" i="8"/>
  <c r="W32" i="3"/>
  <c r="W33" i="3" s="1"/>
  <c r="W34" i="3" s="1"/>
  <c r="D11" i="8"/>
  <c r="V26" i="3"/>
  <c r="Y14" i="9"/>
  <c r="Y37" i="2" l="1"/>
  <c r="Z8" i="2"/>
  <c r="Z6" i="3" s="1"/>
  <c r="AA17" i="6"/>
  <c r="AA19" i="6" s="1"/>
  <c r="AA6" i="2" s="1"/>
  <c r="AA13" i="2" s="1"/>
  <c r="AA4" i="6"/>
  <c r="AA7" i="6" s="1"/>
  <c r="D8" i="8"/>
  <c r="Y35" i="2"/>
  <c r="Y19" i="3" s="1"/>
  <c r="Y20" i="3" s="1"/>
  <c r="Y22" i="3" s="1"/>
  <c r="Z14" i="7"/>
  <c r="Z32" i="2" s="1"/>
  <c r="D32" i="8" s="1"/>
  <c r="Y13" i="9"/>
  <c r="Y18" i="9" s="1"/>
  <c r="Y20" i="9" s="1"/>
  <c r="W26" i="3"/>
  <c r="Z29" i="7"/>
  <c r="Z30" i="7" s="1"/>
  <c r="Z26" i="2" s="1"/>
  <c r="D14" i="8"/>
  <c r="X4" i="3"/>
  <c r="X9" i="3" s="1"/>
  <c r="Y3" i="9"/>
  <c r="Z14" i="2"/>
  <c r="AA11" i="2"/>
  <c r="AA22" i="6"/>
  <c r="AA25" i="6" s="1"/>
  <c r="AA7" i="2" s="1"/>
  <c r="X29" i="9"/>
  <c r="Z16" i="2" l="1"/>
  <c r="Z23" i="2" s="1"/>
  <c r="Z6" i="9"/>
  <c r="D16" i="8"/>
  <c r="D23" i="8" s="1"/>
  <c r="Z5" i="3"/>
  <c r="D7" i="11" s="1"/>
  <c r="AB3" i="6"/>
  <c r="AB6" i="6" s="1"/>
  <c r="AA11" i="6"/>
  <c r="AA4" i="2" s="1"/>
  <c r="AA13" i="7"/>
  <c r="AA26" i="7" s="1"/>
  <c r="AA28" i="7" s="1"/>
  <c r="AB15" i="4"/>
  <c r="AB18" i="4" s="1"/>
  <c r="AA15" i="6"/>
  <c r="AA5" i="2" s="1"/>
  <c r="Z27" i="2"/>
  <c r="D27" i="8" s="1"/>
  <c r="Z30" i="2"/>
  <c r="D30" i="8" s="1"/>
  <c r="Z38" i="2"/>
  <c r="D35" i="8" s="1"/>
  <c r="Z31" i="2"/>
  <c r="D31" i="8" s="1"/>
  <c r="Z28" i="2"/>
  <c r="D28" i="8" s="1"/>
  <c r="Y27" i="9"/>
  <c r="Y4" i="3" s="1"/>
  <c r="Y9" i="3" s="1"/>
  <c r="D26" i="8"/>
  <c r="D6" i="10"/>
  <c r="D14" i="11"/>
  <c r="Z14" i="9"/>
  <c r="X29" i="3"/>
  <c r="X31" i="3" s="1"/>
  <c r="X25" i="3"/>
  <c r="D6" i="11"/>
  <c r="AA12" i="2"/>
  <c r="AA14" i="2" s="1"/>
  <c r="AA8" i="2" l="1"/>
  <c r="AA6" i="3" s="1"/>
  <c r="D5" i="10"/>
  <c r="Z7" i="9"/>
  <c r="Z9" i="9" s="1"/>
  <c r="AA14" i="7"/>
  <c r="AA38" i="2" s="1"/>
  <c r="AB17" i="6"/>
  <c r="AB19" i="6" s="1"/>
  <c r="AB6" i="2" s="1"/>
  <c r="AB13" i="2" s="1"/>
  <c r="AB4" i="6"/>
  <c r="AB7" i="6" s="1"/>
  <c r="AB15" i="6" s="1"/>
  <c r="AB5" i="2" s="1"/>
  <c r="Z12" i="3"/>
  <c r="Z15" i="3" s="1"/>
  <c r="D15" i="10" s="1"/>
  <c r="D33" i="8"/>
  <c r="D36" i="8" s="1"/>
  <c r="Z33" i="2"/>
  <c r="Z3" i="9"/>
  <c r="Y29" i="9"/>
  <c r="D9" i="11"/>
  <c r="Y29" i="3"/>
  <c r="Y31" i="3" s="1"/>
  <c r="Y25" i="3"/>
  <c r="AA29" i="7"/>
  <c r="AA30" i="7" s="1"/>
  <c r="AA26" i="2" s="1"/>
  <c r="AB22" i="6"/>
  <c r="AB25" i="6" s="1"/>
  <c r="AB7" i="2" s="1"/>
  <c r="AB11" i="2"/>
  <c r="X32" i="3"/>
  <c r="X33" i="3" s="1"/>
  <c r="X34" i="3" s="1"/>
  <c r="AA5" i="3" l="1"/>
  <c r="AA7" i="9" s="1"/>
  <c r="AA30" i="2"/>
  <c r="AA6" i="9"/>
  <c r="AA16" i="2"/>
  <c r="AA23" i="2" s="1"/>
  <c r="AA32" i="2"/>
  <c r="AA31" i="2"/>
  <c r="AA27" i="2"/>
  <c r="AA28" i="2"/>
  <c r="Z13" i="9"/>
  <c r="D12" i="10"/>
  <c r="D13" i="11"/>
  <c r="AC3" i="6"/>
  <c r="AC6" i="6" s="1"/>
  <c r="Z35" i="2"/>
  <c r="Z19" i="3" s="1"/>
  <c r="Z37" i="2"/>
  <c r="Z12" i="9"/>
  <c r="D12" i="11" s="1"/>
  <c r="AB13" i="7"/>
  <c r="AB14" i="7" s="1"/>
  <c r="AC15" i="4"/>
  <c r="AC4" i="6" s="1"/>
  <c r="AB11" i="6"/>
  <c r="AB4" i="2" s="1"/>
  <c r="AB12" i="2" s="1"/>
  <c r="X26" i="3"/>
  <c r="AA14" i="9"/>
  <c r="Y32" i="3"/>
  <c r="Y33" i="3" s="1"/>
  <c r="Y34" i="3" s="1"/>
  <c r="D18" i="11" l="1"/>
  <c r="AA9" i="9"/>
  <c r="AA33" i="2"/>
  <c r="AA35" i="2" s="1"/>
  <c r="AA19" i="3" s="1"/>
  <c r="AA20" i="3" s="1"/>
  <c r="AA12" i="3"/>
  <c r="AA13" i="9" s="1"/>
  <c r="AC18" i="4"/>
  <c r="AC22" i="6" s="1"/>
  <c r="AC25" i="6" s="1"/>
  <c r="AC7" i="2" s="1"/>
  <c r="AC17" i="6"/>
  <c r="AC19" i="6" s="1"/>
  <c r="AC6" i="2" s="1"/>
  <c r="AC13" i="2" s="1"/>
  <c r="AB26" i="7"/>
  <c r="AB28" i="7" s="1"/>
  <c r="AB29" i="7" s="1"/>
  <c r="AB30" i="7" s="1"/>
  <c r="AB26" i="2" s="1"/>
  <c r="Z18" i="9"/>
  <c r="Z20" i="9" s="1"/>
  <c r="Z27" i="9" s="1"/>
  <c r="D27" i="11" s="1"/>
  <c r="D19" i="10"/>
  <c r="Z20" i="3"/>
  <c r="AC7" i="6"/>
  <c r="AC11" i="6" s="1"/>
  <c r="AC4" i="2" s="1"/>
  <c r="AB8" i="2"/>
  <c r="AB6" i="3" s="1"/>
  <c r="Y26" i="3"/>
  <c r="AB14" i="2"/>
  <c r="AB32" i="2"/>
  <c r="AB27" i="2"/>
  <c r="AB30" i="2"/>
  <c r="AB38" i="2"/>
  <c r="AB28" i="2"/>
  <c r="AB31" i="2"/>
  <c r="AA37" i="2" l="1"/>
  <c r="AA15" i="3"/>
  <c r="AA12" i="9"/>
  <c r="AD15" i="4"/>
  <c r="D29" i="11"/>
  <c r="Z4" i="3"/>
  <c r="Z9" i="3" s="1"/>
  <c r="AD3" i="6"/>
  <c r="AD6" i="6" s="1"/>
  <c r="AC11" i="2"/>
  <c r="AC15" i="6"/>
  <c r="AC5" i="2" s="1"/>
  <c r="AC8" i="2" s="1"/>
  <c r="AC6" i="3" s="1"/>
  <c r="AC13" i="7"/>
  <c r="AC14" i="7" s="1"/>
  <c r="Z29" i="9"/>
  <c r="AA3" i="9"/>
  <c r="E3" i="11" s="1"/>
  <c r="Z22" i="3"/>
  <c r="D22" i="10" s="1"/>
  <c r="D20" i="10"/>
  <c r="AB5" i="3"/>
  <c r="AB7" i="9" s="1"/>
  <c r="AB6" i="9"/>
  <c r="AA22" i="3"/>
  <c r="AB33" i="2"/>
  <c r="AB37" i="2" s="1"/>
  <c r="AA18" i="9"/>
  <c r="AA20" i="9" s="1"/>
  <c r="AB12" i="3"/>
  <c r="AB14" i="9"/>
  <c r="AD4" i="6"/>
  <c r="AD17" i="6"/>
  <c r="AD19" i="6" s="1"/>
  <c r="AD6" i="2" s="1"/>
  <c r="AD18" i="4"/>
  <c r="AB16" i="2"/>
  <c r="AB23" i="2" s="1"/>
  <c r="AC12" i="2"/>
  <c r="AB35" i="2" l="1"/>
  <c r="AB19" i="3" s="1"/>
  <c r="AB20" i="3" s="1"/>
  <c r="AC26" i="7"/>
  <c r="AC28" i="7" s="1"/>
  <c r="AC29" i="7" s="1"/>
  <c r="AC30" i="7" s="1"/>
  <c r="AC26" i="2" s="1"/>
  <c r="D4" i="10"/>
  <c r="AC14" i="2"/>
  <c r="AC16" i="2" s="1"/>
  <c r="AC23" i="2" s="1"/>
  <c r="AA27" i="9"/>
  <c r="AA4" i="3" s="1"/>
  <c r="AA9" i="3" s="1"/>
  <c r="AB9" i="9"/>
  <c r="AD7" i="6"/>
  <c r="AD15" i="6" s="1"/>
  <c r="AD5" i="2" s="1"/>
  <c r="AD11" i="2"/>
  <c r="AD22" i="6"/>
  <c r="AD25" i="6" s="1"/>
  <c r="AD7" i="2" s="1"/>
  <c r="AC5" i="3"/>
  <c r="AC6" i="9"/>
  <c r="AD13" i="2"/>
  <c r="AB12" i="9"/>
  <c r="D9" i="10"/>
  <c r="Z29" i="3"/>
  <c r="Z31" i="3" s="1"/>
  <c r="Z25" i="3"/>
  <c r="AC28" i="2"/>
  <c r="AC32" i="2"/>
  <c r="AC30" i="2"/>
  <c r="AC31" i="2"/>
  <c r="AC38" i="2"/>
  <c r="AC27" i="2"/>
  <c r="AB15" i="3"/>
  <c r="AB13" i="9"/>
  <c r="AA29" i="9" l="1"/>
  <c r="AB3" i="9"/>
  <c r="AE15" i="4"/>
  <c r="AE4" i="6" s="1"/>
  <c r="AD13" i="7"/>
  <c r="AD14" i="7" s="1"/>
  <c r="AD11" i="6"/>
  <c r="AD4" i="2" s="1"/>
  <c r="AD12" i="2" s="1"/>
  <c r="AD14" i="2" s="1"/>
  <c r="AE3" i="6"/>
  <c r="AE6" i="6" s="1"/>
  <c r="AC12" i="3"/>
  <c r="AC13" i="9" s="1"/>
  <c r="AA29" i="3"/>
  <c r="AA31" i="3" s="1"/>
  <c r="AA25" i="3"/>
  <c r="AC7" i="9"/>
  <c r="AC9" i="9" s="1"/>
  <c r="Z32" i="3"/>
  <c r="Z33" i="3" s="1"/>
  <c r="Z34" i="3" s="1"/>
  <c r="AB18" i="9"/>
  <c r="AB20" i="9" s="1"/>
  <c r="AC33" i="2"/>
  <c r="AB22" i="3"/>
  <c r="AC14" i="9"/>
  <c r="AE17" i="6" l="1"/>
  <c r="AE19" i="6" s="1"/>
  <c r="AE6" i="2" s="1"/>
  <c r="AE13" i="2" s="1"/>
  <c r="AB27" i="9"/>
  <c r="AC3" i="9" s="1"/>
  <c r="AC15" i="3"/>
  <c r="AD26" i="7"/>
  <c r="AD28" i="7" s="1"/>
  <c r="AD29" i="7" s="1"/>
  <c r="AD30" i="7" s="1"/>
  <c r="AD26" i="2" s="1"/>
  <c r="AE18" i="4"/>
  <c r="AE11" i="2" s="1"/>
  <c r="AD8" i="2"/>
  <c r="AD6" i="3" s="1"/>
  <c r="AE7" i="6"/>
  <c r="AF15" i="4" s="1"/>
  <c r="AD30" i="2"/>
  <c r="AD27" i="2"/>
  <c r="AD28" i="2"/>
  <c r="AD31" i="2"/>
  <c r="AD32" i="2"/>
  <c r="AD38" i="2"/>
  <c r="AA32" i="3"/>
  <c r="AA33" i="3" s="1"/>
  <c r="AA34" i="3" s="1"/>
  <c r="Z26" i="3"/>
  <c r="AC37" i="2"/>
  <c r="AC12" i="9"/>
  <c r="AC35" i="2"/>
  <c r="AC19" i="3" s="1"/>
  <c r="AE22" i="6" l="1"/>
  <c r="AE25" i="6" s="1"/>
  <c r="AE7" i="2" s="1"/>
  <c r="AB4" i="3"/>
  <c r="AB9" i="3" s="1"/>
  <c r="AB25" i="3" s="1"/>
  <c r="AB29" i="9"/>
  <c r="AE13" i="7"/>
  <c r="AE26" i="7" s="1"/>
  <c r="AE28" i="7" s="1"/>
  <c r="AF3" i="6"/>
  <c r="AF6" i="6" s="1"/>
  <c r="AE15" i="6"/>
  <c r="AE5" i="2" s="1"/>
  <c r="AD5" i="3"/>
  <c r="AD7" i="9" s="1"/>
  <c r="AE11" i="6"/>
  <c r="AE4" i="2" s="1"/>
  <c r="AE12" i="2" s="1"/>
  <c r="AE14" i="2" s="1"/>
  <c r="AD16" i="2"/>
  <c r="AD23" i="2" s="1"/>
  <c r="AD6" i="9"/>
  <c r="AD12" i="3"/>
  <c r="AD13" i="9" s="1"/>
  <c r="AA26" i="3"/>
  <c r="AF4" i="6"/>
  <c r="AF17" i="6"/>
  <c r="AF19" i="6" s="1"/>
  <c r="AF6" i="2" s="1"/>
  <c r="AF13" i="2" s="1"/>
  <c r="AF18" i="4"/>
  <c r="AD14" i="9"/>
  <c r="AD33" i="2"/>
  <c r="AC20" i="3"/>
  <c r="AC22" i="3" s="1"/>
  <c r="AC18" i="9"/>
  <c r="AC20" i="9" s="1"/>
  <c r="AE14" i="7" l="1"/>
  <c r="AD35" i="2"/>
  <c r="AD19" i="3" s="1"/>
  <c r="AD20" i="3" s="1"/>
  <c r="AB29" i="3"/>
  <c r="AB31" i="3" s="1"/>
  <c r="AB32" i="3" s="1"/>
  <c r="AB33" i="3" s="1"/>
  <c r="AB34" i="3" s="1"/>
  <c r="AE8" i="2"/>
  <c r="AE6" i="3" s="1"/>
  <c r="AD9" i="9"/>
  <c r="AF7" i="6"/>
  <c r="AF13" i="7" s="1"/>
  <c r="AD15" i="3"/>
  <c r="AE31" i="2"/>
  <c r="AE28" i="2"/>
  <c r="AE30" i="2"/>
  <c r="AE27" i="2"/>
  <c r="AE32" i="2"/>
  <c r="AE38" i="2"/>
  <c r="AD12" i="9"/>
  <c r="AD37" i="2"/>
  <c r="AC27" i="9"/>
  <c r="AE16" i="2"/>
  <c r="AE23" i="2" s="1"/>
  <c r="AE29" i="7"/>
  <c r="AE30" i="7" s="1"/>
  <c r="AE26" i="2" s="1"/>
  <c r="AF11" i="2"/>
  <c r="AF22" i="6"/>
  <c r="AF25" i="6" s="1"/>
  <c r="AF7" i="2" s="1"/>
  <c r="AE6" i="9" l="1"/>
  <c r="AE5" i="3"/>
  <c r="AE7" i="9" s="1"/>
  <c r="AF11" i="6"/>
  <c r="AF4" i="2" s="1"/>
  <c r="AG15" i="4"/>
  <c r="AG4" i="6" s="1"/>
  <c r="AF15" i="6"/>
  <c r="AF5" i="2" s="1"/>
  <c r="AE12" i="3"/>
  <c r="AE13" i="9" s="1"/>
  <c r="AG3" i="6"/>
  <c r="AG6" i="6" s="1"/>
  <c r="AD22" i="3"/>
  <c r="AB26" i="3"/>
  <c r="AE14" i="9"/>
  <c r="AF12" i="2"/>
  <c r="AF14" i="2" s="1"/>
  <c r="AE33" i="2"/>
  <c r="AC4" i="3"/>
  <c r="AC9" i="3" s="1"/>
  <c r="AD3" i="9"/>
  <c r="AC29" i="9"/>
  <c r="AD18" i="9"/>
  <c r="AD20" i="9" s="1"/>
  <c r="AF14" i="7"/>
  <c r="AF26" i="7"/>
  <c r="AF28" i="7" s="1"/>
  <c r="AE9" i="9" l="1"/>
  <c r="AF8" i="2"/>
  <c r="AF6" i="3" s="1"/>
  <c r="AG17" i="6"/>
  <c r="AG19" i="6" s="1"/>
  <c r="AG6" i="2" s="1"/>
  <c r="AG13" i="2" s="1"/>
  <c r="AG18" i="4"/>
  <c r="AG11" i="2" s="1"/>
  <c r="AE15" i="3"/>
  <c r="AG7" i="6"/>
  <c r="AG11" i="6" s="1"/>
  <c r="AG4" i="2" s="1"/>
  <c r="AD27" i="9"/>
  <c r="AD29" i="9" s="1"/>
  <c r="AC25" i="3"/>
  <c r="AC29" i="3"/>
  <c r="AC31" i="3" s="1"/>
  <c r="AF27" i="2"/>
  <c r="AF31" i="2"/>
  <c r="AF28" i="2"/>
  <c r="AF32" i="2"/>
  <c r="AF38" i="2"/>
  <c r="AF30" i="2"/>
  <c r="AE37" i="2"/>
  <c r="AE12" i="9"/>
  <c r="AH15" i="4"/>
  <c r="AF6" i="9"/>
  <c r="AF5" i="3"/>
  <c r="AF29" i="7"/>
  <c r="AF30" i="7" s="1"/>
  <c r="AF26" i="2" s="1"/>
  <c r="AE35" i="2"/>
  <c r="AE19" i="3" s="1"/>
  <c r="AG22" i="6" l="1"/>
  <c r="AG25" i="6" s="1"/>
  <c r="AG7" i="2" s="1"/>
  <c r="AG15" i="6"/>
  <c r="AG5" i="2" s="1"/>
  <c r="AF16" i="2"/>
  <c r="AF23" i="2" s="1"/>
  <c r="AG13" i="7"/>
  <c r="AG26" i="7" s="1"/>
  <c r="AG28" i="7" s="1"/>
  <c r="AH3" i="6"/>
  <c r="AH6" i="6" s="1"/>
  <c r="AF12" i="3"/>
  <c r="AF15" i="3" s="1"/>
  <c r="AE18" i="9"/>
  <c r="AE20" i="9" s="1"/>
  <c r="AC32" i="3"/>
  <c r="AC33" i="3" s="1"/>
  <c r="AC34" i="3" s="1"/>
  <c r="AE20" i="3"/>
  <c r="AE22" i="3" s="1"/>
  <c r="AF33" i="2"/>
  <c r="AF14" i="9"/>
  <c r="AG12" i="2"/>
  <c r="AG14" i="2" s="1"/>
  <c r="AF7" i="9"/>
  <c r="AF9" i="9" s="1"/>
  <c r="AH4" i="6"/>
  <c r="AH17" i="6"/>
  <c r="AH19" i="6" s="1"/>
  <c r="AH6" i="2" s="1"/>
  <c r="AH13" i="2" s="1"/>
  <c r="AH18" i="4"/>
  <c r="AD4" i="3"/>
  <c r="AD9" i="3" s="1"/>
  <c r="AE3" i="9"/>
  <c r="AG8" i="2" l="1"/>
  <c r="AG6" i="3" s="1"/>
  <c r="AF35" i="2"/>
  <c r="AF19" i="3" s="1"/>
  <c r="AF20" i="3" s="1"/>
  <c r="AF22" i="3" s="1"/>
  <c r="AG14" i="7"/>
  <c r="AG31" i="2" s="1"/>
  <c r="AH7" i="6"/>
  <c r="AH15" i="6" s="1"/>
  <c r="AH5" i="2" s="1"/>
  <c r="AE27" i="9"/>
  <c r="AE4" i="3" s="1"/>
  <c r="AE9" i="3" s="1"/>
  <c r="AF13" i="9"/>
  <c r="AC26" i="3"/>
  <c r="AG29" i="7"/>
  <c r="AG30" i="7" s="1"/>
  <c r="AG26" i="2" s="1"/>
  <c r="AD29" i="3"/>
  <c r="AD31" i="3" s="1"/>
  <c r="AD25" i="3"/>
  <c r="AG5" i="3"/>
  <c r="AG16" i="2"/>
  <c r="AG23" i="2" s="1"/>
  <c r="AG6" i="9"/>
  <c r="AF12" i="9"/>
  <c r="AF37" i="2"/>
  <c r="AH11" i="2"/>
  <c r="AH22" i="6"/>
  <c r="AH25" i="6" s="1"/>
  <c r="AH7" i="2" s="1"/>
  <c r="AG28" i="2"/>
  <c r="AG38" i="2"/>
  <c r="AG30" i="2" l="1"/>
  <c r="AG32" i="2"/>
  <c r="AG27" i="2"/>
  <c r="AI3" i="6"/>
  <c r="AI6" i="6" s="1"/>
  <c r="AH13" i="7"/>
  <c r="AH14" i="7" s="1"/>
  <c r="AI15" i="4"/>
  <c r="AI18" i="4" s="1"/>
  <c r="AH11" i="6"/>
  <c r="AH4" i="2" s="1"/>
  <c r="AH8" i="2" s="1"/>
  <c r="AH6" i="3" s="1"/>
  <c r="AF18" i="9"/>
  <c r="AF20" i="9" s="1"/>
  <c r="AE29" i="9"/>
  <c r="AF3" i="9"/>
  <c r="AG7" i="9"/>
  <c r="AG9" i="9" s="1"/>
  <c r="AG14" i="9"/>
  <c r="AE25" i="3"/>
  <c r="AE29" i="3"/>
  <c r="AE31" i="3" s="1"/>
  <c r="AD32" i="3"/>
  <c r="AD33" i="3" s="1"/>
  <c r="AD34" i="3" s="1"/>
  <c r="AI4" i="6" l="1"/>
  <c r="AG12" i="3"/>
  <c r="AG15" i="3" s="1"/>
  <c r="AG33" i="2"/>
  <c r="AG37" i="2" s="1"/>
  <c r="AH26" i="7"/>
  <c r="AH28" i="7" s="1"/>
  <c r="AH29" i="7" s="1"/>
  <c r="AH30" i="7" s="1"/>
  <c r="AH26" i="2" s="1"/>
  <c r="AI17" i="6"/>
  <c r="AI19" i="6" s="1"/>
  <c r="AI6" i="2" s="1"/>
  <c r="AI13" i="2" s="1"/>
  <c r="AH12" i="2"/>
  <c r="AH14" i="2" s="1"/>
  <c r="AH16" i="2" s="1"/>
  <c r="AH23" i="2" s="1"/>
  <c r="AI7" i="6"/>
  <c r="AI11" i="6" s="1"/>
  <c r="AI4" i="2" s="1"/>
  <c r="AF27" i="9"/>
  <c r="AF4" i="3" s="1"/>
  <c r="AF9" i="3" s="1"/>
  <c r="AD26" i="3"/>
  <c r="AI22" i="6"/>
  <c r="AI25" i="6" s="1"/>
  <c r="AI7" i="2" s="1"/>
  <c r="AI11" i="2"/>
  <c r="AE32" i="3"/>
  <c r="AE33" i="3" s="1"/>
  <c r="AE34" i="3" s="1"/>
  <c r="AH5" i="3"/>
  <c r="AH6" i="9"/>
  <c r="AH32" i="2"/>
  <c r="AH38" i="2"/>
  <c r="AH28" i="2"/>
  <c r="AH27" i="2"/>
  <c r="AH31" i="2"/>
  <c r="AH30" i="2"/>
  <c r="AG13" i="9" l="1"/>
  <c r="AG12" i="9"/>
  <c r="AG18" i="9" s="1"/>
  <c r="AG20" i="9" s="1"/>
  <c r="AG35" i="2"/>
  <c r="AG19" i="3" s="1"/>
  <c r="AG20" i="3" s="1"/>
  <c r="AG22" i="3" s="1"/>
  <c r="AJ3" i="6"/>
  <c r="AI13" i="7"/>
  <c r="AI26" i="7" s="1"/>
  <c r="AI28" i="7" s="1"/>
  <c r="AJ15" i="4"/>
  <c r="AJ17" i="6" s="1"/>
  <c r="AJ19" i="6" s="1"/>
  <c r="AJ6" i="2" s="1"/>
  <c r="AJ13" i="2" s="1"/>
  <c r="AI15" i="6"/>
  <c r="AI5" i="2" s="1"/>
  <c r="AI8" i="2" s="1"/>
  <c r="AI6" i="3" s="1"/>
  <c r="AF29" i="9"/>
  <c r="AG3" i="9"/>
  <c r="AH12" i="3"/>
  <c r="AH15" i="3" s="1"/>
  <c r="AE26" i="3"/>
  <c r="AH7" i="9"/>
  <c r="AH9" i="9" s="1"/>
  <c r="AI12" i="2"/>
  <c r="AI14" i="2" s="1"/>
  <c r="AH14" i="9"/>
  <c r="AH33" i="2"/>
  <c r="AH35" i="2" s="1"/>
  <c r="AF29" i="3"/>
  <c r="AF31" i="3" s="1"/>
  <c r="AF25" i="3"/>
  <c r="AJ6" i="6"/>
  <c r="AH19" i="3" l="1"/>
  <c r="AG27" i="9"/>
  <c r="AG29" i="9" s="1"/>
  <c r="AI14" i="7"/>
  <c r="AI27" i="2" s="1"/>
  <c r="AJ18" i="4"/>
  <c r="AJ22" i="6" s="1"/>
  <c r="AJ25" i="6" s="1"/>
  <c r="AJ7" i="2" s="1"/>
  <c r="AJ4" i="6"/>
  <c r="AJ7" i="6" s="1"/>
  <c r="AH3" i="9"/>
  <c r="AH13" i="9"/>
  <c r="AH20" i="3"/>
  <c r="AH22" i="3" s="1"/>
  <c r="AI29" i="7"/>
  <c r="AI30" i="7" s="1"/>
  <c r="AI26" i="2" s="1"/>
  <c r="AI16" i="2"/>
  <c r="AI23" i="2" s="1"/>
  <c r="AI5" i="3"/>
  <c r="AI6" i="9"/>
  <c r="AH37" i="2"/>
  <c r="AH12" i="9"/>
  <c r="AF32" i="3"/>
  <c r="AF33" i="3" s="1"/>
  <c r="AF34" i="3" s="1"/>
  <c r="AI32" i="2"/>
  <c r="AI28" i="2"/>
  <c r="AI38" i="2" l="1"/>
  <c r="AI30" i="2"/>
  <c r="AG4" i="3"/>
  <c r="AG9" i="3" s="1"/>
  <c r="AG29" i="3" s="1"/>
  <c r="AG31" i="3" s="1"/>
  <c r="AG32" i="3" s="1"/>
  <c r="AG33" i="3" s="1"/>
  <c r="AG34" i="3" s="1"/>
  <c r="AI31" i="2"/>
  <c r="AJ11" i="2"/>
  <c r="AJ11" i="6"/>
  <c r="AJ4" i="2" s="1"/>
  <c r="AJ12" i="2" s="1"/>
  <c r="AK15" i="4"/>
  <c r="AK17" i="6" s="1"/>
  <c r="AK19" i="6" s="1"/>
  <c r="AK6" i="2" s="1"/>
  <c r="AK13" i="2" s="1"/>
  <c r="AK3" i="6"/>
  <c r="AK6" i="6" s="1"/>
  <c r="AJ15" i="6"/>
  <c r="AJ5" i="2" s="1"/>
  <c r="AJ13" i="7"/>
  <c r="AJ14" i="7" s="1"/>
  <c r="AH18" i="9"/>
  <c r="AH20" i="9" s="1"/>
  <c r="AH27" i="9" s="1"/>
  <c r="AH29" i="9" s="1"/>
  <c r="AF26" i="3"/>
  <c r="AI14" i="9"/>
  <c r="AI7" i="9"/>
  <c r="AI9" i="9" s="1"/>
  <c r="AG25" i="3" l="1"/>
  <c r="AG26" i="3" s="1"/>
  <c r="AI33" i="2"/>
  <c r="AI12" i="9" s="1"/>
  <c r="AI12" i="3"/>
  <c r="AI13" i="9" s="1"/>
  <c r="AK18" i="4"/>
  <c r="AK11" i="2" s="1"/>
  <c r="AJ14" i="2"/>
  <c r="AK4" i="6"/>
  <c r="AK7" i="6" s="1"/>
  <c r="AK15" i="6" s="1"/>
  <c r="AK5" i="2" s="1"/>
  <c r="AJ8" i="2"/>
  <c r="AJ6" i="9" s="1"/>
  <c r="AJ26" i="7"/>
  <c r="AJ28" i="7" s="1"/>
  <c r="AJ29" i="7" s="1"/>
  <c r="AJ30" i="7" s="1"/>
  <c r="AJ26" i="2" s="1"/>
  <c r="AI37" i="2"/>
  <c r="AH4" i="3"/>
  <c r="AH9" i="3" s="1"/>
  <c r="AI3" i="9"/>
  <c r="AJ38" i="2"/>
  <c r="AJ32" i="2"/>
  <c r="AJ30" i="2"/>
  <c r="AJ27" i="2"/>
  <c r="AJ31" i="2"/>
  <c r="AJ28" i="2"/>
  <c r="AK22" i="6" l="1"/>
  <c r="AK25" i="6" s="1"/>
  <c r="AK7" i="2" s="1"/>
  <c r="AI18" i="9"/>
  <c r="AI20" i="9" s="1"/>
  <c r="AI27" i="9" s="1"/>
  <c r="AI15" i="3"/>
  <c r="AI35" i="2"/>
  <c r="AI19" i="3" s="1"/>
  <c r="AI20" i="3" s="1"/>
  <c r="AJ16" i="2"/>
  <c r="AJ23" i="2" s="1"/>
  <c r="AJ6" i="3"/>
  <c r="AJ14" i="9" s="1"/>
  <c r="AJ5" i="3"/>
  <c r="AJ7" i="9" s="1"/>
  <c r="AJ9" i="9" s="1"/>
  <c r="AK13" i="7"/>
  <c r="AK14" i="7" s="1"/>
  <c r="AL3" i="6"/>
  <c r="AL6" i="6" s="1"/>
  <c r="AL15" i="4"/>
  <c r="AL4" i="6" s="1"/>
  <c r="AJ12" i="3"/>
  <c r="AJ13" i="9" s="1"/>
  <c r="AK11" i="6"/>
  <c r="AK4" i="2" s="1"/>
  <c r="AK12" i="2" s="1"/>
  <c r="AK14" i="2" s="1"/>
  <c r="AH25" i="3"/>
  <c r="AH29" i="3"/>
  <c r="AH31" i="3" s="1"/>
  <c r="AJ33" i="2"/>
  <c r="AI22" i="3" l="1"/>
  <c r="AK26" i="7"/>
  <c r="AK28" i="7" s="1"/>
  <c r="AK29" i="7" s="1"/>
  <c r="AK30" i="7" s="1"/>
  <c r="AK26" i="2" s="1"/>
  <c r="AJ35" i="2"/>
  <c r="AJ19" i="3" s="1"/>
  <c r="AJ20" i="3" s="1"/>
  <c r="AL17" i="6"/>
  <c r="AL19" i="6" s="1"/>
  <c r="AL6" i="2" s="1"/>
  <c r="AL13" i="2" s="1"/>
  <c r="E13" i="8" s="1"/>
  <c r="AK8" i="2"/>
  <c r="AL18" i="4"/>
  <c r="AL22" i="6" s="1"/>
  <c r="AL25" i="6" s="1"/>
  <c r="AL7" i="2" s="1"/>
  <c r="E7" i="8" s="1"/>
  <c r="AJ15" i="3"/>
  <c r="AL7" i="6"/>
  <c r="AL15" i="6" s="1"/>
  <c r="AL5" i="2" s="1"/>
  <c r="E5" i="8" s="1"/>
  <c r="AJ37" i="2"/>
  <c r="AJ12" i="9"/>
  <c r="AJ18" i="9" s="1"/>
  <c r="AJ20" i="9" s="1"/>
  <c r="AK32" i="2"/>
  <c r="AK28" i="2"/>
  <c r="AK27" i="2"/>
  <c r="AK30" i="2"/>
  <c r="AK31" i="2"/>
  <c r="AK38" i="2"/>
  <c r="AI4" i="3"/>
  <c r="AI9" i="3" s="1"/>
  <c r="AJ3" i="9"/>
  <c r="AH32" i="3"/>
  <c r="AH33" i="3" s="1"/>
  <c r="AH34" i="3" s="1"/>
  <c r="AI29" i="9"/>
  <c r="AK6" i="9" l="1"/>
  <c r="AK6" i="3"/>
  <c r="AK14" i="9" s="1"/>
  <c r="AJ22" i="3"/>
  <c r="AK16" i="2"/>
  <c r="AK23" i="2" s="1"/>
  <c r="AK5" i="3"/>
  <c r="AK7" i="9" s="1"/>
  <c r="AK9" i="9" s="1"/>
  <c r="E6" i="8"/>
  <c r="AL11" i="2"/>
  <c r="E11" i="8" s="1"/>
  <c r="AL11" i="6"/>
  <c r="AL4" i="2" s="1"/>
  <c r="E4" i="8" s="1"/>
  <c r="AL13" i="7"/>
  <c r="AL26" i="7" s="1"/>
  <c r="AL28" i="7" s="1"/>
  <c r="AM3" i="6"/>
  <c r="AM6" i="6" s="1"/>
  <c r="AK12" i="3"/>
  <c r="AK13" i="9" s="1"/>
  <c r="AM15" i="4"/>
  <c r="AM18" i="4" s="1"/>
  <c r="AH26" i="3"/>
  <c r="AI29" i="3"/>
  <c r="AI31" i="3" s="1"/>
  <c r="AI25" i="3"/>
  <c r="AK33" i="2"/>
  <c r="AJ27" i="9"/>
  <c r="AM4" i="6" l="1"/>
  <c r="AM7" i="6" s="1"/>
  <c r="AN15" i="4" s="1"/>
  <c r="AL12" i="2"/>
  <c r="E12" i="8" s="1"/>
  <c r="E14" i="8" s="1"/>
  <c r="E8" i="8"/>
  <c r="AL8" i="2"/>
  <c r="AL6" i="3" s="1"/>
  <c r="AM17" i="6"/>
  <c r="AM19" i="6" s="1"/>
  <c r="AM6" i="2" s="1"/>
  <c r="AM13" i="2" s="1"/>
  <c r="AK35" i="2"/>
  <c r="AK19" i="3" s="1"/>
  <c r="AK20" i="3" s="1"/>
  <c r="AK15" i="3"/>
  <c r="AL14" i="7"/>
  <c r="AL28" i="2" s="1"/>
  <c r="E28" i="8" s="1"/>
  <c r="AJ4" i="3"/>
  <c r="AJ9" i="3" s="1"/>
  <c r="AK3" i="9"/>
  <c r="AM11" i="2"/>
  <c r="AM22" i="6"/>
  <c r="AM25" i="6" s="1"/>
  <c r="AM7" i="2" s="1"/>
  <c r="AI32" i="3"/>
  <c r="AI33" i="3" s="1"/>
  <c r="AI34" i="3" s="1"/>
  <c r="AL29" i="7"/>
  <c r="AL30" i="7" s="1"/>
  <c r="AL26" i="2" s="1"/>
  <c r="AK12" i="9"/>
  <c r="AK18" i="9" s="1"/>
  <c r="AK20" i="9" s="1"/>
  <c r="AK37" i="2"/>
  <c r="AJ29" i="9"/>
  <c r="E16" i="8" l="1"/>
  <c r="E23" i="8" s="1"/>
  <c r="AL5" i="3"/>
  <c r="E5" i="10" s="1"/>
  <c r="AL14" i="2"/>
  <c r="AL16" i="2" s="1"/>
  <c r="AL23" i="2" s="1"/>
  <c r="AL6" i="9"/>
  <c r="E6" i="11" s="1"/>
  <c r="AK22" i="3"/>
  <c r="AL31" i="2"/>
  <c r="E31" i="8" s="1"/>
  <c r="AL30" i="2"/>
  <c r="E30" i="8" s="1"/>
  <c r="AM11" i="6"/>
  <c r="AM4" i="2" s="1"/>
  <c r="AM12" i="2" s="1"/>
  <c r="AL32" i="2"/>
  <c r="E32" i="8" s="1"/>
  <c r="AM15" i="6"/>
  <c r="AM5" i="2" s="1"/>
  <c r="AM13" i="7"/>
  <c r="AM14" i="7" s="1"/>
  <c r="AL38" i="2"/>
  <c r="E35" i="8" s="1"/>
  <c r="AN3" i="6"/>
  <c r="AL27" i="2"/>
  <c r="E27" i="8" s="1"/>
  <c r="AI26" i="3"/>
  <c r="AK27" i="9"/>
  <c r="AK29" i="9" s="1"/>
  <c r="AN6" i="6"/>
  <c r="AN4" i="6"/>
  <c r="AN17" i="6"/>
  <c r="AN19" i="6" s="1"/>
  <c r="AN6" i="2" s="1"/>
  <c r="AN18" i="4"/>
  <c r="E6" i="10"/>
  <c r="E14" i="11"/>
  <c r="AL14" i="9"/>
  <c r="E26" i="8"/>
  <c r="AJ25" i="3"/>
  <c r="AJ29" i="3"/>
  <c r="AJ31" i="3" s="1"/>
  <c r="AL7" i="9" l="1"/>
  <c r="AL9" i="9" s="1"/>
  <c r="E7" i="11"/>
  <c r="E9" i="11" s="1"/>
  <c r="AM26" i="7"/>
  <c r="AM28" i="7" s="1"/>
  <c r="AM29" i="7" s="1"/>
  <c r="AM30" i="7" s="1"/>
  <c r="AM26" i="2" s="1"/>
  <c r="AM8" i="2"/>
  <c r="AM6" i="3" s="1"/>
  <c r="AL12" i="3"/>
  <c r="E12" i="10" s="1"/>
  <c r="E33" i="8"/>
  <c r="E36" i="8" s="1"/>
  <c r="AL33" i="2"/>
  <c r="AL37" i="2" s="1"/>
  <c r="AN7" i="6"/>
  <c r="AO15" i="4" s="1"/>
  <c r="AM31" i="2"/>
  <c r="AM32" i="2"/>
  <c r="AM38" i="2"/>
  <c r="AM30" i="2"/>
  <c r="AM27" i="2"/>
  <c r="AM28" i="2"/>
  <c r="AJ32" i="3"/>
  <c r="AJ33" i="3" s="1"/>
  <c r="AJ34" i="3" s="1"/>
  <c r="AM14" i="2"/>
  <c r="AN11" i="2"/>
  <c r="AN22" i="6"/>
  <c r="AN25" i="6" s="1"/>
  <c r="AN7" i="2" s="1"/>
  <c r="AN13" i="2"/>
  <c r="AK4" i="3"/>
  <c r="AK9" i="3" s="1"/>
  <c r="AL3" i="9"/>
  <c r="AL35" i="2" l="1"/>
  <c r="AL19" i="3" s="1"/>
  <c r="AL13" i="9"/>
  <c r="E13" i="11"/>
  <c r="AL15" i="3"/>
  <c r="E15" i="10" s="1"/>
  <c r="AM6" i="9"/>
  <c r="AM16" i="2"/>
  <c r="AM23" i="2" s="1"/>
  <c r="AM5" i="3"/>
  <c r="AM7" i="9" s="1"/>
  <c r="AL12" i="9"/>
  <c r="E12" i="11" s="1"/>
  <c r="AN11" i="6"/>
  <c r="AN4" i="2" s="1"/>
  <c r="AN12" i="2" s="1"/>
  <c r="AN14" i="2" s="1"/>
  <c r="AN13" i="7"/>
  <c r="AN14" i="7" s="1"/>
  <c r="AO3" i="6"/>
  <c r="AO6" i="6" s="1"/>
  <c r="AN15" i="6"/>
  <c r="AN5" i="2" s="1"/>
  <c r="AK25" i="3"/>
  <c r="AK29" i="3"/>
  <c r="AK31" i="3" s="1"/>
  <c r="AJ26" i="3"/>
  <c r="AM14" i="9"/>
  <c r="AM33" i="2"/>
  <c r="AM37" i="2" s="1"/>
  <c r="AO4" i="6"/>
  <c r="AO17" i="6"/>
  <c r="AO19" i="6" s="1"/>
  <c r="AO6" i="2" s="1"/>
  <c r="AO18" i="4"/>
  <c r="AM12" i="3"/>
  <c r="AL20" i="3"/>
  <c r="E19" i="10"/>
  <c r="E18" i="11" l="1"/>
  <c r="AM9" i="9"/>
  <c r="AM12" i="9"/>
  <c r="AN26" i="7"/>
  <c r="AN28" i="7" s="1"/>
  <c r="AN29" i="7" s="1"/>
  <c r="AN30" i="7" s="1"/>
  <c r="AN26" i="2" s="1"/>
  <c r="AM35" i="2"/>
  <c r="AM19" i="3" s="1"/>
  <c r="AM20" i="3" s="1"/>
  <c r="AN8" i="2"/>
  <c r="AN6" i="3" s="1"/>
  <c r="AL18" i="9"/>
  <c r="AL20" i="9" s="1"/>
  <c r="AL27" i="9" s="1"/>
  <c r="E29" i="11" s="1"/>
  <c r="AO7" i="6"/>
  <c r="AO11" i="6" s="1"/>
  <c r="AO4" i="2" s="1"/>
  <c r="AO11" i="2"/>
  <c r="AO22" i="6"/>
  <c r="AO25" i="6" s="1"/>
  <c r="AO7" i="2" s="1"/>
  <c r="AO13" i="2"/>
  <c r="AK32" i="3"/>
  <c r="AK33" i="3" s="1"/>
  <c r="AK34" i="3" s="1"/>
  <c r="AN30" i="2"/>
  <c r="AN38" i="2"/>
  <c r="AN32" i="2"/>
  <c r="AN28" i="2"/>
  <c r="AN31" i="2"/>
  <c r="AN27" i="2"/>
  <c r="E20" i="10"/>
  <c r="AL22" i="3"/>
  <c r="E22" i="10" s="1"/>
  <c r="AM13" i="9"/>
  <c r="AM15" i="3"/>
  <c r="AM18" i="9" l="1"/>
  <c r="AM20" i="9" s="1"/>
  <c r="AN5" i="3"/>
  <c r="AN7" i="9" s="1"/>
  <c r="AN6" i="9"/>
  <c r="AN16" i="2"/>
  <c r="AN23" i="2" s="1"/>
  <c r="AM3" i="9"/>
  <c r="AM27" i="9" s="1"/>
  <c r="AL4" i="3"/>
  <c r="AL9" i="3" s="1"/>
  <c r="AL29" i="9"/>
  <c r="E27" i="11"/>
  <c r="AP3" i="6"/>
  <c r="AP6" i="6" s="1"/>
  <c r="AP15" i="4"/>
  <c r="AP4" i="6" s="1"/>
  <c r="AO15" i="6"/>
  <c r="AO5" i="2" s="1"/>
  <c r="AO8" i="2" s="1"/>
  <c r="AO6" i="3" s="1"/>
  <c r="AO13" i="7"/>
  <c r="AO14" i="7" s="1"/>
  <c r="AM22" i="3"/>
  <c r="AN12" i="3"/>
  <c r="AN13" i="9" s="1"/>
  <c r="AK26" i="3"/>
  <c r="AO12" i="2"/>
  <c r="AO14" i="2" s="1"/>
  <c r="AN33" i="2"/>
  <c r="AN14" i="9"/>
  <c r="AN9" i="9" l="1"/>
  <c r="AP18" i="4"/>
  <c r="AP22" i="6" s="1"/>
  <c r="AP25" i="6" s="1"/>
  <c r="AP7" i="2" s="1"/>
  <c r="AP17" i="6"/>
  <c r="AP19" i="6" s="1"/>
  <c r="AP6" i="2" s="1"/>
  <c r="AP13" i="2" s="1"/>
  <c r="AN35" i="2"/>
  <c r="AN19" i="3" s="1"/>
  <c r="AN20" i="3" s="1"/>
  <c r="F3" i="11"/>
  <c r="E4" i="10"/>
  <c r="AO26" i="7"/>
  <c r="AO28" i="7" s="1"/>
  <c r="AO29" i="7" s="1"/>
  <c r="AO30" i="7" s="1"/>
  <c r="AO26" i="2" s="1"/>
  <c r="AP7" i="6"/>
  <c r="AP15" i="6" s="1"/>
  <c r="AP5" i="2" s="1"/>
  <c r="AN15" i="3"/>
  <c r="AM4" i="3"/>
  <c r="AM9" i="3" s="1"/>
  <c r="AN3" i="9"/>
  <c r="E9" i="10"/>
  <c r="AL29" i="3"/>
  <c r="AL31" i="3" s="1"/>
  <c r="AL25" i="3"/>
  <c r="AO28" i="2"/>
  <c r="AO38" i="2"/>
  <c r="AO27" i="2"/>
  <c r="AO32" i="2"/>
  <c r="AO31" i="2"/>
  <c r="AO30" i="2"/>
  <c r="AO5" i="3"/>
  <c r="AO16" i="2"/>
  <c r="AO23" i="2" s="1"/>
  <c r="AO6" i="9"/>
  <c r="AN37" i="2"/>
  <c r="AN12" i="9"/>
  <c r="AM29" i="9"/>
  <c r="AP11" i="2" l="1"/>
  <c r="AP13" i="7"/>
  <c r="AP14" i="7" s="1"/>
  <c r="AP11" i="6"/>
  <c r="AP4" i="2" s="1"/>
  <c r="AP12" i="2" s="1"/>
  <c r="AQ15" i="4"/>
  <c r="AQ4" i="6" s="1"/>
  <c r="AQ3" i="6"/>
  <c r="AQ6" i="6" s="1"/>
  <c r="AN22" i="3"/>
  <c r="AO33" i="2"/>
  <c r="AO35" i="2" s="1"/>
  <c r="AO19" i="3" s="1"/>
  <c r="AO14" i="9"/>
  <c r="AM29" i="3"/>
  <c r="AM31" i="3" s="1"/>
  <c r="AM25" i="3"/>
  <c r="AO7" i="9"/>
  <c r="AO9" i="9" s="1"/>
  <c r="AN18" i="9"/>
  <c r="AN20" i="9" s="1"/>
  <c r="AN27" i="9" s="1"/>
  <c r="AL32" i="3"/>
  <c r="AL33" i="3" s="1"/>
  <c r="AL34" i="3" s="1"/>
  <c r="AO12" i="3"/>
  <c r="AP26" i="7" l="1"/>
  <c r="AP28" i="7" s="1"/>
  <c r="AP14" i="2"/>
  <c r="AP8" i="2"/>
  <c r="AP6" i="3" s="1"/>
  <c r="AQ17" i="6"/>
  <c r="AQ19" i="6" s="1"/>
  <c r="AQ6" i="2" s="1"/>
  <c r="AQ13" i="2" s="1"/>
  <c r="AQ18" i="4"/>
  <c r="AQ11" i="2" s="1"/>
  <c r="AQ7" i="6"/>
  <c r="AQ15" i="6" s="1"/>
  <c r="AQ5" i="2" s="1"/>
  <c r="AL26" i="3"/>
  <c r="AO20" i="3"/>
  <c r="AP31" i="2"/>
  <c r="AP27" i="2"/>
  <c r="AP38" i="2"/>
  <c r="AP32" i="2"/>
  <c r="AP30" i="2"/>
  <c r="AP28" i="2"/>
  <c r="AO13" i="9"/>
  <c r="AO15" i="3"/>
  <c r="AN4" i="3"/>
  <c r="AN9" i="3" s="1"/>
  <c r="AO3" i="9"/>
  <c r="AN29" i="9"/>
  <c r="AM32" i="3"/>
  <c r="AM33" i="3" s="1"/>
  <c r="AM34" i="3" s="1"/>
  <c r="AP29" i="7"/>
  <c r="AP30" i="7" s="1"/>
  <c r="AP26" i="2" s="1"/>
  <c r="AO12" i="9"/>
  <c r="AO37" i="2"/>
  <c r="AQ22" i="6" l="1"/>
  <c r="AQ25" i="6" s="1"/>
  <c r="AQ7" i="2" s="1"/>
  <c r="AP6" i="9"/>
  <c r="AP16" i="2"/>
  <c r="AP23" i="2" s="1"/>
  <c r="AP5" i="3"/>
  <c r="AP7" i="9" s="1"/>
  <c r="AQ13" i="7"/>
  <c r="AQ26" i="7" s="1"/>
  <c r="AQ28" i="7" s="1"/>
  <c r="AQ11" i="6"/>
  <c r="AQ4" i="2" s="1"/>
  <c r="AQ12" i="2" s="1"/>
  <c r="AQ14" i="2" s="1"/>
  <c r="AR15" i="4"/>
  <c r="AR17" i="6" s="1"/>
  <c r="AR19" i="6" s="1"/>
  <c r="AR6" i="2" s="1"/>
  <c r="AR13" i="2" s="1"/>
  <c r="AR3" i="6"/>
  <c r="AR6" i="6" s="1"/>
  <c r="AP12" i="3"/>
  <c r="AP13" i="9" s="1"/>
  <c r="AM26" i="3"/>
  <c r="AP33" i="2"/>
  <c r="AP35" i="2" s="1"/>
  <c r="AP19" i="3" s="1"/>
  <c r="AO18" i="9"/>
  <c r="AO20" i="9" s="1"/>
  <c r="AO27" i="9" s="1"/>
  <c r="AP14" i="9"/>
  <c r="AN29" i="3"/>
  <c r="AN31" i="3" s="1"/>
  <c r="AN25" i="3"/>
  <c r="AO22" i="3"/>
  <c r="AQ14" i="7" l="1"/>
  <c r="AR4" i="6"/>
  <c r="AR7" i="6" s="1"/>
  <c r="AR15" i="6" s="1"/>
  <c r="AR5" i="2" s="1"/>
  <c r="AQ8" i="2"/>
  <c r="AQ6" i="3" s="1"/>
  <c r="AR18" i="4"/>
  <c r="AR11" i="2" s="1"/>
  <c r="AP9" i="9"/>
  <c r="AP15" i="3"/>
  <c r="AO4" i="3"/>
  <c r="AO9" i="3" s="1"/>
  <c r="AP3" i="9"/>
  <c r="AO29" i="9"/>
  <c r="AQ29" i="7"/>
  <c r="AQ30" i="7" s="1"/>
  <c r="AQ26" i="2" s="1"/>
  <c r="AN32" i="3"/>
  <c r="AN33" i="3" s="1"/>
  <c r="AN34" i="3" s="1"/>
  <c r="AP20" i="3"/>
  <c r="AQ38" i="2"/>
  <c r="AQ27" i="2"/>
  <c r="AQ31" i="2"/>
  <c r="AQ30" i="2"/>
  <c r="AQ32" i="2"/>
  <c r="AQ28" i="2"/>
  <c r="AP12" i="9"/>
  <c r="AP37" i="2"/>
  <c r="AR22" i="6" l="1"/>
  <c r="AR25" i="6" s="1"/>
  <c r="AR7" i="2" s="1"/>
  <c r="AQ6" i="9"/>
  <c r="AQ16" i="2"/>
  <c r="AQ23" i="2" s="1"/>
  <c r="AQ5" i="3"/>
  <c r="AQ7" i="9" s="1"/>
  <c r="AR11" i="6"/>
  <c r="AR4" i="2" s="1"/>
  <c r="AS15" i="4"/>
  <c r="AS17" i="6" s="1"/>
  <c r="AS19" i="6" s="1"/>
  <c r="AS6" i="2" s="1"/>
  <c r="AS13" i="2" s="1"/>
  <c r="AR13" i="7"/>
  <c r="AR14" i="7" s="1"/>
  <c r="AS3" i="6"/>
  <c r="AP22" i="3"/>
  <c r="AQ12" i="3"/>
  <c r="AQ13" i="9" s="1"/>
  <c r="AN26" i="3"/>
  <c r="AS6" i="6"/>
  <c r="AQ33" i="2"/>
  <c r="AP18" i="9"/>
  <c r="AP20" i="9" s="1"/>
  <c r="AP27" i="9" s="1"/>
  <c r="AQ14" i="9"/>
  <c r="AO25" i="3"/>
  <c r="AO29" i="3"/>
  <c r="AO31" i="3" s="1"/>
  <c r="AR8" i="2" l="1"/>
  <c r="AR6" i="3" s="1"/>
  <c r="AR12" i="2"/>
  <c r="AR14" i="2" s="1"/>
  <c r="AQ35" i="2"/>
  <c r="AQ19" i="3" s="1"/>
  <c r="AQ20" i="3" s="1"/>
  <c r="AQ9" i="9"/>
  <c r="AS18" i="4"/>
  <c r="AS11" i="2" s="1"/>
  <c r="AS4" i="6"/>
  <c r="AS7" i="6" s="1"/>
  <c r="AT15" i="4" s="1"/>
  <c r="AR26" i="7"/>
  <c r="AR28" i="7" s="1"/>
  <c r="AR29" i="7" s="1"/>
  <c r="AR30" i="7" s="1"/>
  <c r="AR26" i="2" s="1"/>
  <c r="AQ15" i="3"/>
  <c r="AR5" i="3"/>
  <c r="AR16" i="2"/>
  <c r="AR23" i="2" s="1"/>
  <c r="AR6" i="9"/>
  <c r="AR28" i="2"/>
  <c r="AR31" i="2"/>
  <c r="AR32" i="2"/>
  <c r="AR27" i="2"/>
  <c r="AR38" i="2"/>
  <c r="AR30" i="2"/>
  <c r="AP4" i="3"/>
  <c r="AP9" i="3" s="1"/>
  <c r="AQ3" i="9"/>
  <c r="AO32" i="3"/>
  <c r="AO33" i="3" s="1"/>
  <c r="AO34" i="3" s="1"/>
  <c r="AS22" i="6"/>
  <c r="AS25" i="6" s="1"/>
  <c r="AS7" i="2" s="1"/>
  <c r="AP29" i="9"/>
  <c r="AQ37" i="2"/>
  <c r="AQ12" i="9"/>
  <c r="AS11" i="6" l="1"/>
  <c r="AS4" i="2" s="1"/>
  <c r="AS12" i="2" s="1"/>
  <c r="AS14" i="2" s="1"/>
  <c r="AR12" i="3"/>
  <c r="AR15" i="3" s="1"/>
  <c r="AS13" i="7"/>
  <c r="AS14" i="7" s="1"/>
  <c r="AT3" i="6"/>
  <c r="AT6" i="6" s="1"/>
  <c r="AS15" i="6"/>
  <c r="AS5" i="2" s="1"/>
  <c r="AQ22" i="3"/>
  <c r="AO26" i="3"/>
  <c r="AR14" i="9"/>
  <c r="AT4" i="6"/>
  <c r="AT17" i="6"/>
  <c r="AT19" i="6" s="1"/>
  <c r="AT6" i="2" s="1"/>
  <c r="AT13" i="2" s="1"/>
  <c r="AT18" i="4"/>
  <c r="AR33" i="2"/>
  <c r="AR35" i="2" s="1"/>
  <c r="AR19" i="3" s="1"/>
  <c r="AQ18" i="9"/>
  <c r="AQ20" i="9" s="1"/>
  <c r="AQ27" i="9" s="1"/>
  <c r="AP25" i="3"/>
  <c r="AP29" i="3"/>
  <c r="AP31" i="3" s="1"/>
  <c r="AR7" i="9"/>
  <c r="AR9" i="9" s="1"/>
  <c r="AR13" i="9" l="1"/>
  <c r="AS26" i="7"/>
  <c r="AS28" i="7" s="1"/>
  <c r="AS29" i="7" s="1"/>
  <c r="AS30" i="7" s="1"/>
  <c r="AS26" i="2" s="1"/>
  <c r="AS8" i="2"/>
  <c r="AS6" i="3" s="1"/>
  <c r="AT7" i="6"/>
  <c r="AT13" i="7" s="1"/>
  <c r="AS38" i="2"/>
  <c r="AS32" i="2"/>
  <c r="AS30" i="2"/>
  <c r="AS31" i="2"/>
  <c r="AS28" i="2"/>
  <c r="AS27" i="2"/>
  <c r="AQ29" i="9"/>
  <c r="AT22" i="6"/>
  <c r="AT25" i="6" s="1"/>
  <c r="AT7" i="2" s="1"/>
  <c r="AT11" i="2"/>
  <c r="AQ4" i="3"/>
  <c r="AQ9" i="3" s="1"/>
  <c r="AR3" i="9"/>
  <c r="AR20" i="3"/>
  <c r="AR22" i="3" s="1"/>
  <c r="AP32" i="3"/>
  <c r="AP33" i="3" s="1"/>
  <c r="AP34" i="3" s="1"/>
  <c r="AR12" i="9"/>
  <c r="AR37" i="2"/>
  <c r="AR18" i="9" l="1"/>
  <c r="AR20" i="9" s="1"/>
  <c r="AS16" i="2"/>
  <c r="AS23" i="2" s="1"/>
  <c r="AS5" i="3"/>
  <c r="AS7" i="9" s="1"/>
  <c r="AU3" i="6"/>
  <c r="AU6" i="6" s="1"/>
  <c r="AT11" i="6"/>
  <c r="AT4" i="2" s="1"/>
  <c r="AT12" i="2" s="1"/>
  <c r="AT14" i="2" s="1"/>
  <c r="AS6" i="9"/>
  <c r="AT15" i="6"/>
  <c r="AT5" i="2" s="1"/>
  <c r="AU15" i="4"/>
  <c r="AU17" i="6" s="1"/>
  <c r="AU19" i="6" s="1"/>
  <c r="AU6" i="2" s="1"/>
  <c r="AU13" i="2" s="1"/>
  <c r="AS33" i="2"/>
  <c r="AS37" i="2" s="1"/>
  <c r="AS12" i="3"/>
  <c r="AS15" i="3" s="1"/>
  <c r="AP26" i="3"/>
  <c r="AT14" i="7"/>
  <c r="AT26" i="7"/>
  <c r="AT28" i="7" s="1"/>
  <c r="AR27" i="9"/>
  <c r="AQ25" i="3"/>
  <c r="AQ29" i="3"/>
  <c r="AQ31" i="3" s="1"/>
  <c r="AS14" i="9"/>
  <c r="AT8" i="2" l="1"/>
  <c r="AT6" i="3" s="1"/>
  <c r="AU18" i="4"/>
  <c r="AU11" i="2" s="1"/>
  <c r="AS9" i="9"/>
  <c r="AU4" i="6"/>
  <c r="AU7" i="6" s="1"/>
  <c r="AU15" i="6" s="1"/>
  <c r="AU5" i="2" s="1"/>
  <c r="AS35" i="2"/>
  <c r="AS19" i="3" s="1"/>
  <c r="AS20" i="3" s="1"/>
  <c r="AS22" i="3" s="1"/>
  <c r="AS12" i="9"/>
  <c r="AS13" i="9"/>
  <c r="AT38" i="2"/>
  <c r="AT32" i="2"/>
  <c r="AT31" i="2"/>
  <c r="AT30" i="2"/>
  <c r="AT28" i="2"/>
  <c r="AT27" i="2"/>
  <c r="AU22" i="6"/>
  <c r="AU25" i="6" s="1"/>
  <c r="AU7" i="2" s="1"/>
  <c r="AR4" i="3"/>
  <c r="AR9" i="3" s="1"/>
  <c r="AS3" i="9"/>
  <c r="AT5" i="3"/>
  <c r="AQ32" i="3"/>
  <c r="AQ33" i="3" s="1"/>
  <c r="AQ34" i="3" s="1"/>
  <c r="AT29" i="7"/>
  <c r="AT30" i="7" s="1"/>
  <c r="AT26" i="2" s="1"/>
  <c r="AR29" i="9"/>
  <c r="AT6" i="9" l="1"/>
  <c r="AT16" i="2"/>
  <c r="AT23" i="2" s="1"/>
  <c r="AS18" i="9"/>
  <c r="AS20" i="9" s="1"/>
  <c r="AS27" i="9" s="1"/>
  <c r="AV3" i="6"/>
  <c r="AV6" i="6" s="1"/>
  <c r="AV15" i="4"/>
  <c r="AV17" i="6" s="1"/>
  <c r="AV19" i="6" s="1"/>
  <c r="AV6" i="2" s="1"/>
  <c r="AV13" i="2" s="1"/>
  <c r="AT12" i="3"/>
  <c r="AT13" i="9" s="1"/>
  <c r="AU11" i="6"/>
  <c r="AU4" i="2" s="1"/>
  <c r="AU12" i="2" s="1"/>
  <c r="AU14" i="2" s="1"/>
  <c r="AU13" i="7"/>
  <c r="AU26" i="7" s="1"/>
  <c r="AU28" i="7" s="1"/>
  <c r="AT33" i="2"/>
  <c r="AT37" i="2" s="1"/>
  <c r="AT14" i="9"/>
  <c r="AQ26" i="3"/>
  <c r="AT7" i="9"/>
  <c r="AT9" i="9" s="1"/>
  <c r="AR25" i="3"/>
  <c r="AR29" i="3"/>
  <c r="AR31" i="3" s="1"/>
  <c r="AU14" i="7" l="1"/>
  <c r="AU31" i="2" s="1"/>
  <c r="AV4" i="6"/>
  <c r="AV7" i="6" s="1"/>
  <c r="AT15" i="3"/>
  <c r="AV18" i="4"/>
  <c r="AV22" i="6" s="1"/>
  <c r="AV25" i="6" s="1"/>
  <c r="AV7" i="2" s="1"/>
  <c r="AU8" i="2"/>
  <c r="AT35" i="2"/>
  <c r="AT19" i="3" s="1"/>
  <c r="AT20" i="3" s="1"/>
  <c r="AT12" i="9"/>
  <c r="AT18" i="9" s="1"/>
  <c r="AT20" i="9" s="1"/>
  <c r="AU29" i="7"/>
  <c r="AU30" i="7" s="1"/>
  <c r="AU26" i="2" s="1"/>
  <c r="AS4" i="3"/>
  <c r="AS9" i="3" s="1"/>
  <c r="AT3" i="9"/>
  <c r="AS29" i="9"/>
  <c r="AR32" i="3"/>
  <c r="AR33" i="3" s="1"/>
  <c r="AR34" i="3" s="1"/>
  <c r="AU30" i="2" l="1"/>
  <c r="AU32" i="2"/>
  <c r="AU38" i="2"/>
  <c r="AU27" i="2"/>
  <c r="AU28" i="2"/>
  <c r="AV11" i="6"/>
  <c r="AV4" i="2" s="1"/>
  <c r="AV15" i="6"/>
  <c r="AV5" i="2" s="1"/>
  <c r="AV13" i="7"/>
  <c r="AV26" i="7" s="1"/>
  <c r="AV28" i="7" s="1"/>
  <c r="AW3" i="6"/>
  <c r="AW6" i="6" s="1"/>
  <c r="AW15" i="4"/>
  <c r="AW4" i="6" s="1"/>
  <c r="AU5" i="3"/>
  <c r="AU7" i="9" s="1"/>
  <c r="AU6" i="3"/>
  <c r="AU14" i="9" s="1"/>
  <c r="AT22" i="3"/>
  <c r="AV11" i="2"/>
  <c r="AU16" i="2"/>
  <c r="AU23" i="2" s="1"/>
  <c r="AU6" i="9"/>
  <c r="AR26" i="3"/>
  <c r="AT27" i="9"/>
  <c r="AT29" i="9" s="1"/>
  <c r="AS29" i="3"/>
  <c r="AS31" i="3" s="1"/>
  <c r="AS25" i="3"/>
  <c r="AV12" i="2"/>
  <c r="AU12" i="3" l="1"/>
  <c r="AU15" i="3" s="1"/>
  <c r="AV14" i="7"/>
  <c r="AV28" i="2" s="1"/>
  <c r="AV8" i="2"/>
  <c r="AV6" i="3" s="1"/>
  <c r="AU33" i="2"/>
  <c r="AU37" i="2" s="1"/>
  <c r="AW17" i="6"/>
  <c r="AW19" i="6" s="1"/>
  <c r="AW6" i="2" s="1"/>
  <c r="AW13" i="2" s="1"/>
  <c r="AW18" i="4"/>
  <c r="AW22" i="6" s="1"/>
  <c r="AW25" i="6" s="1"/>
  <c r="AW7" i="2" s="1"/>
  <c r="AU9" i="9"/>
  <c r="AV14" i="2"/>
  <c r="AW7" i="6"/>
  <c r="AV29" i="7"/>
  <c r="AV30" i="7" s="1"/>
  <c r="AV26" i="2" s="1"/>
  <c r="AV27" i="2"/>
  <c r="AV31" i="2"/>
  <c r="AS32" i="3"/>
  <c r="AS33" i="3" s="1"/>
  <c r="AS34" i="3" s="1"/>
  <c r="AT4" i="3"/>
  <c r="AT9" i="3" s="1"/>
  <c r="AU3" i="9"/>
  <c r="AV6" i="9" l="1"/>
  <c r="AV5" i="3"/>
  <c r="AU35" i="2"/>
  <c r="AU19" i="3" s="1"/>
  <c r="AU20" i="3" s="1"/>
  <c r="AU22" i="3" s="1"/>
  <c r="AV32" i="2"/>
  <c r="AV16" i="2"/>
  <c r="AV23" i="2" s="1"/>
  <c r="AV30" i="2"/>
  <c r="AV33" i="2" s="1"/>
  <c r="AU13" i="9"/>
  <c r="AV38" i="2"/>
  <c r="AU12" i="9"/>
  <c r="AW11" i="2"/>
  <c r="AW13" i="7"/>
  <c r="AW26" i="7" s="1"/>
  <c r="AW28" i="7" s="1"/>
  <c r="AX15" i="4"/>
  <c r="AX18" i="4" s="1"/>
  <c r="AW15" i="6"/>
  <c r="AW5" i="2" s="1"/>
  <c r="AX3" i="6"/>
  <c r="AX6" i="6" s="1"/>
  <c r="AW11" i="6"/>
  <c r="AW4" i="2" s="1"/>
  <c r="AW12" i="2" s="1"/>
  <c r="AV7" i="9"/>
  <c r="AV9" i="9" s="1"/>
  <c r="AV14" i="9"/>
  <c r="AS26" i="3"/>
  <c r="AT25" i="3"/>
  <c r="AT29" i="3"/>
  <c r="AT31" i="3" s="1"/>
  <c r="AW14" i="2" l="1"/>
  <c r="AU18" i="9"/>
  <c r="AU20" i="9" s="1"/>
  <c r="AU27" i="9" s="1"/>
  <c r="AU4" i="3" s="1"/>
  <c r="AU9" i="3" s="1"/>
  <c r="AU29" i="3" s="1"/>
  <c r="AU31" i="3" s="1"/>
  <c r="AV12" i="3"/>
  <c r="AV15" i="3" s="1"/>
  <c r="AX17" i="6"/>
  <c r="AX19" i="6" s="1"/>
  <c r="AX6" i="2" s="1"/>
  <c r="AX13" i="2" s="1"/>
  <c r="F13" i="8" s="1"/>
  <c r="AW14" i="7"/>
  <c r="AW32" i="2" s="1"/>
  <c r="AX4" i="6"/>
  <c r="AX7" i="6" s="1"/>
  <c r="AX13" i="7" s="1"/>
  <c r="AW8" i="2"/>
  <c r="AW5" i="3" s="1"/>
  <c r="AV3" i="9"/>
  <c r="AU29" i="9"/>
  <c r="AX22" i="6"/>
  <c r="AX25" i="6" s="1"/>
  <c r="AX7" i="2" s="1"/>
  <c r="F7" i="8" s="1"/>
  <c r="AX11" i="2"/>
  <c r="AW29" i="7"/>
  <c r="AW30" i="7" s="1"/>
  <c r="AW26" i="2" s="1"/>
  <c r="AV37" i="2"/>
  <c r="AV12" i="9"/>
  <c r="AT32" i="3"/>
  <c r="AT33" i="3" s="1"/>
  <c r="AT34" i="3" s="1"/>
  <c r="AV35" i="2"/>
  <c r="AV19" i="3" s="1"/>
  <c r="F6" i="8" l="1"/>
  <c r="AV13" i="9"/>
  <c r="AU25" i="3"/>
  <c r="AW30" i="2"/>
  <c r="AW38" i="2"/>
  <c r="AW28" i="2"/>
  <c r="AW27" i="2"/>
  <c r="AW31" i="2"/>
  <c r="AW16" i="2"/>
  <c r="AW23" i="2" s="1"/>
  <c r="AW6" i="3"/>
  <c r="AW14" i="9" s="1"/>
  <c r="AW6" i="9"/>
  <c r="AX15" i="6"/>
  <c r="AX5" i="2" s="1"/>
  <c r="F5" i="8" s="1"/>
  <c r="AY3" i="6"/>
  <c r="AY6" i="6" s="1"/>
  <c r="AY15" i="4"/>
  <c r="AY4" i="6" s="1"/>
  <c r="AX11" i="6"/>
  <c r="AX4" i="2" s="1"/>
  <c r="AX12" i="2" s="1"/>
  <c r="F12" i="8" s="1"/>
  <c r="AV18" i="9"/>
  <c r="AV20" i="9" s="1"/>
  <c r="AV27" i="9" s="1"/>
  <c r="AV29" i="9" s="1"/>
  <c r="AT26" i="3"/>
  <c r="AV20" i="3"/>
  <c r="AV22" i="3" s="1"/>
  <c r="AX14" i="7"/>
  <c r="AX26" i="7"/>
  <c r="AX28" i="7" s="1"/>
  <c r="AU32" i="3"/>
  <c r="AU33" i="3" s="1"/>
  <c r="AU34" i="3" s="1"/>
  <c r="AW7" i="9"/>
  <c r="F11" i="8"/>
  <c r="AW33" i="2" l="1"/>
  <c r="AW35" i="2" s="1"/>
  <c r="AW19" i="3" s="1"/>
  <c r="AW20" i="3" s="1"/>
  <c r="AW12" i="3"/>
  <c r="AW15" i="3" s="1"/>
  <c r="AW9" i="9"/>
  <c r="F4" i="8"/>
  <c r="F8" i="8" s="1"/>
  <c r="AY18" i="4"/>
  <c r="AY11" i="2" s="1"/>
  <c r="AX8" i="2"/>
  <c r="AY17" i="6"/>
  <c r="AY19" i="6" s="1"/>
  <c r="AY6" i="2" s="1"/>
  <c r="AY13" i="2" s="1"/>
  <c r="AY7" i="6"/>
  <c r="AY11" i="6" s="1"/>
  <c r="AY4" i="2" s="1"/>
  <c r="AX14" i="2"/>
  <c r="AU26" i="3"/>
  <c r="AX29" i="7"/>
  <c r="AX30" i="7" s="1"/>
  <c r="AX26" i="2" s="1"/>
  <c r="AV4" i="3"/>
  <c r="AV9" i="3" s="1"/>
  <c r="AW3" i="9"/>
  <c r="F14" i="8"/>
  <c r="AX28" i="2"/>
  <c r="F28" i="8" s="1"/>
  <c r="AX27" i="2"/>
  <c r="F27" i="8" s="1"/>
  <c r="AX31" i="2"/>
  <c r="F31" i="8" s="1"/>
  <c r="AX32" i="2"/>
  <c r="F32" i="8" s="1"/>
  <c r="AX30" i="2"/>
  <c r="F30" i="8" s="1"/>
  <c r="AX38" i="2"/>
  <c r="F35" i="8" s="1"/>
  <c r="AW37" i="2"/>
  <c r="AW12" i="9"/>
  <c r="AZ15" i="4"/>
  <c r="AW13" i="9" l="1"/>
  <c r="AW22" i="3"/>
  <c r="F16" i="8"/>
  <c r="F23" i="8" s="1"/>
  <c r="AY22" i="6"/>
  <c r="AY25" i="6" s="1"/>
  <c r="AY7" i="2" s="1"/>
  <c r="AX6" i="9"/>
  <c r="F6" i="11" s="1"/>
  <c r="AX6" i="3"/>
  <c r="F14" i="11" s="1"/>
  <c r="AZ3" i="6"/>
  <c r="AZ6" i="6" s="1"/>
  <c r="AW18" i="9"/>
  <c r="AW20" i="9" s="1"/>
  <c r="AW27" i="9" s="1"/>
  <c r="AX5" i="3"/>
  <c r="F7" i="11" s="1"/>
  <c r="AX16" i="2"/>
  <c r="AX23" i="2" s="1"/>
  <c r="AY13" i="7"/>
  <c r="AY26" i="7" s="1"/>
  <c r="AY28" i="7" s="1"/>
  <c r="AY15" i="6"/>
  <c r="AY5" i="2" s="1"/>
  <c r="AY8" i="2" s="1"/>
  <c r="AY6" i="3" s="1"/>
  <c r="AX33" i="2"/>
  <c r="F26" i="8"/>
  <c r="F33" i="8" s="1"/>
  <c r="AX12" i="3"/>
  <c r="AY12" i="2"/>
  <c r="AZ4" i="6"/>
  <c r="AZ18" i="4"/>
  <c r="AZ17" i="6"/>
  <c r="AZ19" i="6" s="1"/>
  <c r="AZ6" i="2" s="1"/>
  <c r="AV25" i="3"/>
  <c r="AV29" i="3"/>
  <c r="AV31" i="3" s="1"/>
  <c r="F36" i="8" l="1"/>
  <c r="AX7" i="9"/>
  <c r="AX9" i="9" s="1"/>
  <c r="F5" i="10"/>
  <c r="F6" i="10"/>
  <c r="AX14" i="9"/>
  <c r="AX35" i="2"/>
  <c r="AX19" i="3" s="1"/>
  <c r="AX20" i="3" s="1"/>
  <c r="AY14" i="7"/>
  <c r="AY38" i="2" s="1"/>
  <c r="AZ7" i="6"/>
  <c r="BA3" i="6" s="1"/>
  <c r="F9" i="11"/>
  <c r="AZ13" i="2"/>
  <c r="AV32" i="3"/>
  <c r="AV33" i="3" s="1"/>
  <c r="AV34" i="3" s="1"/>
  <c r="AY29" i="7"/>
  <c r="AY30" i="7" s="1"/>
  <c r="AY26" i="2" s="1"/>
  <c r="AX13" i="9"/>
  <c r="F13" i="11"/>
  <c r="AX15" i="3"/>
  <c r="F15" i="10" s="1"/>
  <c r="F12" i="10"/>
  <c r="AX3" i="9"/>
  <c r="AW4" i="3"/>
  <c r="AW9" i="3" s="1"/>
  <c r="AY14" i="2"/>
  <c r="AY16" i="2" s="1"/>
  <c r="AY23" i="2" s="1"/>
  <c r="AZ11" i="2"/>
  <c r="AZ22" i="6"/>
  <c r="AZ25" i="6" s="1"/>
  <c r="AZ7" i="2" s="1"/>
  <c r="AY5" i="3"/>
  <c r="AY6" i="9"/>
  <c r="AX12" i="9"/>
  <c r="AX37" i="2"/>
  <c r="AW29" i="9"/>
  <c r="F19" i="10" l="1"/>
  <c r="AY28" i="2"/>
  <c r="AY32" i="2"/>
  <c r="AY31" i="2"/>
  <c r="AY27" i="2"/>
  <c r="AY30" i="2"/>
  <c r="AZ15" i="6"/>
  <c r="AZ5" i="2" s="1"/>
  <c r="AZ11" i="6"/>
  <c r="AZ4" i="2" s="1"/>
  <c r="AZ12" i="2" s="1"/>
  <c r="AZ14" i="2" s="1"/>
  <c r="AZ13" i="7"/>
  <c r="AZ14" i="7" s="1"/>
  <c r="BA15" i="4"/>
  <c r="BA17" i="6" s="1"/>
  <c r="BA19" i="6" s="1"/>
  <c r="BA6" i="2" s="1"/>
  <c r="AV26" i="3"/>
  <c r="AX18" i="9"/>
  <c r="AX20" i="9" s="1"/>
  <c r="AX27" i="9" s="1"/>
  <c r="F12" i="11"/>
  <c r="F18" i="11" s="1"/>
  <c r="F20" i="10"/>
  <c r="AX22" i="3"/>
  <c r="F22" i="10" s="1"/>
  <c r="AW25" i="3"/>
  <c r="AW29" i="3"/>
  <c r="AW31" i="3" s="1"/>
  <c r="AY14" i="9"/>
  <c r="AY7" i="9"/>
  <c r="AY9" i="9" s="1"/>
  <c r="BA6" i="6"/>
  <c r="AY12" i="3" l="1"/>
  <c r="AY13" i="9" s="1"/>
  <c r="AY33" i="2"/>
  <c r="AY35" i="2" s="1"/>
  <c r="AY19" i="3" s="1"/>
  <c r="AY20" i="3" s="1"/>
  <c r="BA4" i="6"/>
  <c r="BA7" i="6" s="1"/>
  <c r="BA15" i="6" s="1"/>
  <c r="BA5" i="2" s="1"/>
  <c r="AZ26" i="7"/>
  <c r="AZ28" i="7" s="1"/>
  <c r="AZ29" i="7" s="1"/>
  <c r="AZ30" i="7" s="1"/>
  <c r="AZ26" i="2" s="1"/>
  <c r="BA18" i="4"/>
  <c r="BA11" i="2" s="1"/>
  <c r="AZ8" i="2"/>
  <c r="AW32" i="3"/>
  <c r="AW33" i="3" s="1"/>
  <c r="AW34" i="3" s="1"/>
  <c r="BA13" i="2"/>
  <c r="F27" i="11"/>
  <c r="AX4" i="3"/>
  <c r="AY3" i="9"/>
  <c r="F29" i="11"/>
  <c r="AZ31" i="2"/>
  <c r="AZ30" i="2"/>
  <c r="AZ28" i="2"/>
  <c r="AZ38" i="2"/>
  <c r="AZ32" i="2"/>
  <c r="AZ27" i="2"/>
  <c r="AX29" i="9"/>
  <c r="BA22" i="6" l="1"/>
  <c r="BA25" i="6" s="1"/>
  <c r="BA7" i="2" s="1"/>
  <c r="AY37" i="2"/>
  <c r="AZ5" i="3"/>
  <c r="AZ7" i="9" s="1"/>
  <c r="AZ6" i="3"/>
  <c r="AZ14" i="9" s="1"/>
  <c r="AY15" i="3"/>
  <c r="AY22" i="3" s="1"/>
  <c r="AY12" i="9"/>
  <c r="AY18" i="9" s="1"/>
  <c r="AY20" i="9" s="1"/>
  <c r="AY27" i="9" s="1"/>
  <c r="BB15" i="4"/>
  <c r="BB18" i="4" s="1"/>
  <c r="BA13" i="7"/>
  <c r="BA14" i="7" s="1"/>
  <c r="AZ16" i="2"/>
  <c r="AZ23" i="2" s="1"/>
  <c r="AZ6" i="9"/>
  <c r="BA11" i="6"/>
  <c r="BA4" i="2" s="1"/>
  <c r="BA12" i="2" s="1"/>
  <c r="BA14" i="2" s="1"/>
  <c r="BB3" i="6"/>
  <c r="BB6" i="6" s="1"/>
  <c r="AW26" i="3"/>
  <c r="G3" i="11"/>
  <c r="AZ12" i="3"/>
  <c r="AZ33" i="2"/>
  <c r="F4" i="10"/>
  <c r="AX9" i="3"/>
  <c r="BB17" i="6"/>
  <c r="BB19" i="6" s="1"/>
  <c r="BB6" i="2" s="1"/>
  <c r="AZ9" i="9" l="1"/>
  <c r="BA26" i="7"/>
  <c r="BA28" i="7" s="1"/>
  <c r="BA29" i="7" s="1"/>
  <c r="BA30" i="7" s="1"/>
  <c r="BA26" i="2" s="1"/>
  <c r="BB4" i="6"/>
  <c r="BB7" i="6" s="1"/>
  <c r="BB15" i="6" s="1"/>
  <c r="BB5" i="2" s="1"/>
  <c r="BA8" i="2"/>
  <c r="BA6" i="3" s="1"/>
  <c r="BB22" i="6"/>
  <c r="BB25" i="6" s="1"/>
  <c r="BB7" i="2" s="1"/>
  <c r="BB11" i="2"/>
  <c r="F9" i="10"/>
  <c r="AX25" i="3"/>
  <c r="AX29" i="3"/>
  <c r="AX31" i="3" s="1"/>
  <c r="AZ37" i="2"/>
  <c r="AZ12" i="9"/>
  <c r="BA30" i="2"/>
  <c r="BA32" i="2"/>
  <c r="BA27" i="2"/>
  <c r="BA38" i="2"/>
  <c r="BA28" i="2"/>
  <c r="BA31" i="2"/>
  <c r="AY4" i="3"/>
  <c r="AY9" i="3" s="1"/>
  <c r="AZ3" i="9"/>
  <c r="AY29" i="9"/>
  <c r="AZ35" i="2"/>
  <c r="AZ19" i="3" s="1"/>
  <c r="AZ13" i="9"/>
  <c r="AZ15" i="3"/>
  <c r="BB13" i="2"/>
  <c r="BA6" i="9" l="1"/>
  <c r="BA16" i="2"/>
  <c r="BA23" i="2" s="1"/>
  <c r="BA5" i="3"/>
  <c r="BA7" i="9" s="1"/>
  <c r="BC15" i="4"/>
  <c r="BC4" i="6" s="1"/>
  <c r="BB13" i="7"/>
  <c r="BB14" i="7" s="1"/>
  <c r="BC3" i="6"/>
  <c r="BC6" i="6" s="1"/>
  <c r="BB11" i="6"/>
  <c r="BB4" i="2" s="1"/>
  <c r="BB12" i="2" s="1"/>
  <c r="BB14" i="2" s="1"/>
  <c r="BA33" i="2"/>
  <c r="BA14" i="9"/>
  <c r="AZ18" i="9"/>
  <c r="AZ20" i="9" s="1"/>
  <c r="AZ27" i="9" s="1"/>
  <c r="AZ20" i="3"/>
  <c r="AZ22" i="3" s="1"/>
  <c r="AY25" i="3"/>
  <c r="AY29" i="3"/>
  <c r="AY31" i="3" s="1"/>
  <c r="AX32" i="3"/>
  <c r="AX33" i="3" s="1"/>
  <c r="AX34" i="3" s="1"/>
  <c r="BA12" i="3"/>
  <c r="BB8" i="2" l="1"/>
  <c r="BB6" i="3" s="1"/>
  <c r="BA35" i="2"/>
  <c r="BA19" i="3" s="1"/>
  <c r="BA20" i="3" s="1"/>
  <c r="BA9" i="9"/>
  <c r="BC17" i="6"/>
  <c r="BC19" i="6" s="1"/>
  <c r="BC6" i="2" s="1"/>
  <c r="BC13" i="2" s="1"/>
  <c r="BC18" i="4"/>
  <c r="BC22" i="6" s="1"/>
  <c r="BC25" i="6" s="1"/>
  <c r="BC7" i="2" s="1"/>
  <c r="BB26" i="7"/>
  <c r="BB28" i="7" s="1"/>
  <c r="BB29" i="7" s="1"/>
  <c r="BB30" i="7" s="1"/>
  <c r="BB26" i="2" s="1"/>
  <c r="BC7" i="6"/>
  <c r="BD15" i="4" s="1"/>
  <c r="BB5" i="3"/>
  <c r="BB6" i="9"/>
  <c r="BB16" i="2"/>
  <c r="BB23" i="2" s="1"/>
  <c r="AZ4" i="3"/>
  <c r="AZ9" i="3" s="1"/>
  <c r="BA3" i="9"/>
  <c r="BA13" i="9"/>
  <c r="BA15" i="3"/>
  <c r="AY32" i="3"/>
  <c r="AY33" i="3" s="1"/>
  <c r="AY34" i="3" s="1"/>
  <c r="AX26" i="3"/>
  <c r="BB30" i="2"/>
  <c r="BB28" i="2"/>
  <c r="BB27" i="2"/>
  <c r="BB31" i="2"/>
  <c r="BB32" i="2"/>
  <c r="BB38" i="2"/>
  <c r="AZ29" i="9"/>
  <c r="BA12" i="9"/>
  <c r="BA37" i="2"/>
  <c r="BC11" i="2" l="1"/>
  <c r="BC13" i="7"/>
  <c r="BC26" i="7" s="1"/>
  <c r="BC28" i="7" s="1"/>
  <c r="BC15" i="6"/>
  <c r="BC5" i="2" s="1"/>
  <c r="BC11" i="6"/>
  <c r="BC4" i="2" s="1"/>
  <c r="BC12" i="2" s="1"/>
  <c r="BD3" i="6"/>
  <c r="BD6" i="6" s="1"/>
  <c r="BB12" i="3"/>
  <c r="BB15" i="3" s="1"/>
  <c r="AY26" i="3"/>
  <c r="BA18" i="9"/>
  <c r="BA20" i="9" s="1"/>
  <c r="BA27" i="9" s="1"/>
  <c r="BB14" i="9"/>
  <c r="BA22" i="3"/>
  <c r="BB33" i="2"/>
  <c r="BB35" i="2" s="1"/>
  <c r="BB19" i="3" s="1"/>
  <c r="AZ25" i="3"/>
  <c r="AZ29" i="3"/>
  <c r="AZ31" i="3" s="1"/>
  <c r="BB7" i="9"/>
  <c r="BB9" i="9" s="1"/>
  <c r="BD4" i="6"/>
  <c r="BD17" i="6"/>
  <c r="BD19" i="6" s="1"/>
  <c r="BD6" i="2" s="1"/>
  <c r="BD13" i="2" s="1"/>
  <c r="BD18" i="4"/>
  <c r="BC14" i="7" l="1"/>
  <c r="BC31" i="2" s="1"/>
  <c r="BC14" i="2"/>
  <c r="BC8" i="2"/>
  <c r="BC6" i="3" s="1"/>
  <c r="BD7" i="6"/>
  <c r="BD11" i="6" s="1"/>
  <c r="BD4" i="2" s="1"/>
  <c r="BB13" i="9"/>
  <c r="BB20" i="3"/>
  <c r="BB22" i="3" s="1"/>
  <c r="BC38" i="2"/>
  <c r="BA4" i="3"/>
  <c r="BA9" i="3" s="1"/>
  <c r="BB3" i="9"/>
  <c r="BD11" i="2"/>
  <c r="BD22" i="6"/>
  <c r="BD25" i="6" s="1"/>
  <c r="BD7" i="2" s="1"/>
  <c r="BB12" i="9"/>
  <c r="BB37" i="2"/>
  <c r="BC29" i="7"/>
  <c r="BC30" i="7" s="1"/>
  <c r="BC26" i="2" s="1"/>
  <c r="AZ32" i="3"/>
  <c r="AZ33" i="3" s="1"/>
  <c r="AZ34" i="3" s="1"/>
  <c r="BA29" i="9"/>
  <c r="BC27" i="2" l="1"/>
  <c r="BC30" i="2"/>
  <c r="BC28" i="2"/>
  <c r="BC32" i="2"/>
  <c r="BC5" i="3"/>
  <c r="BC7" i="9" s="1"/>
  <c r="BC6" i="9"/>
  <c r="BC16" i="2"/>
  <c r="BC23" i="2" s="1"/>
  <c r="BE15" i="4"/>
  <c r="BE4" i="6" s="1"/>
  <c r="BD13" i="7"/>
  <c r="BD26" i="7" s="1"/>
  <c r="BD28" i="7" s="1"/>
  <c r="BD15" i="6"/>
  <c r="BD5" i="2" s="1"/>
  <c r="BD8" i="2" s="1"/>
  <c r="BD6" i="3" s="1"/>
  <c r="BE3" i="6"/>
  <c r="BE6" i="6" s="1"/>
  <c r="BC12" i="3"/>
  <c r="BC13" i="9" s="1"/>
  <c r="AZ26" i="3"/>
  <c r="BC14" i="9"/>
  <c r="BB18" i="9"/>
  <c r="BB20" i="9" s="1"/>
  <c r="BB27" i="9" s="1"/>
  <c r="BA25" i="3"/>
  <c r="BA29" i="3"/>
  <c r="BA31" i="3" s="1"/>
  <c r="BD12" i="2"/>
  <c r="BD14" i="2" s="1"/>
  <c r="BC33" i="2" l="1"/>
  <c r="BC9" i="9"/>
  <c r="BC35" i="2"/>
  <c r="BC19" i="3" s="1"/>
  <c r="BC20" i="3" s="1"/>
  <c r="BE18" i="4"/>
  <c r="BE11" i="2" s="1"/>
  <c r="BE17" i="6"/>
  <c r="BE19" i="6" s="1"/>
  <c r="BE6" i="2" s="1"/>
  <c r="BE13" i="2" s="1"/>
  <c r="BD14" i="7"/>
  <c r="BD27" i="2" s="1"/>
  <c r="BE7" i="6"/>
  <c r="BE11" i="6" s="1"/>
  <c r="BE4" i="2" s="1"/>
  <c r="BC15" i="3"/>
  <c r="BD5" i="3"/>
  <c r="BD16" i="2"/>
  <c r="BD23" i="2" s="1"/>
  <c r="BD6" i="9"/>
  <c r="BA32" i="3"/>
  <c r="BA33" i="3" s="1"/>
  <c r="BA34" i="3" s="1"/>
  <c r="BB4" i="3"/>
  <c r="BB9" i="3" s="1"/>
  <c r="BC3" i="9"/>
  <c r="BB29" i="9"/>
  <c r="BD29" i="7"/>
  <c r="BD30" i="7" s="1"/>
  <c r="BD26" i="2" s="1"/>
  <c r="BC12" i="9"/>
  <c r="BC37" i="2"/>
  <c r="BE22" i="6" l="1"/>
  <c r="BE25" i="6" s="1"/>
  <c r="BE7" i="2" s="1"/>
  <c r="BD38" i="2"/>
  <c r="BF15" i="4"/>
  <c r="BF18" i="4" s="1"/>
  <c r="BD32" i="2"/>
  <c r="BD28" i="2"/>
  <c r="BD31" i="2"/>
  <c r="BD30" i="2"/>
  <c r="BE13" i="7"/>
  <c r="BE26" i="7" s="1"/>
  <c r="BE28" i="7" s="1"/>
  <c r="BE15" i="6"/>
  <c r="BE5" i="2" s="1"/>
  <c r="BE8" i="2" s="1"/>
  <c r="BE6" i="3" s="1"/>
  <c r="BF3" i="6"/>
  <c r="BF6" i="6" s="1"/>
  <c r="BC22" i="3"/>
  <c r="BA26" i="3"/>
  <c r="BE12" i="2"/>
  <c r="BE14" i="2" s="1"/>
  <c r="BB25" i="3"/>
  <c r="BB29" i="3"/>
  <c r="BB31" i="3" s="1"/>
  <c r="BF17" i="6"/>
  <c r="BF19" i="6" s="1"/>
  <c r="BF6" i="2" s="1"/>
  <c r="BF13" i="2" s="1"/>
  <c r="BC18" i="9"/>
  <c r="BC20" i="9" s="1"/>
  <c r="BC27" i="9" s="1"/>
  <c r="BD14" i="9"/>
  <c r="BD7" i="9"/>
  <c r="BD9" i="9" s="1"/>
  <c r="BF4" i="6" l="1"/>
  <c r="BF7" i="6" s="1"/>
  <c r="BD33" i="2"/>
  <c r="BD37" i="2" s="1"/>
  <c r="BD12" i="3"/>
  <c r="BD13" i="9" s="1"/>
  <c r="BE14" i="7"/>
  <c r="BE32" i="2" s="1"/>
  <c r="BF22" i="6"/>
  <c r="BF25" i="6" s="1"/>
  <c r="BF7" i="2" s="1"/>
  <c r="BF11" i="2"/>
  <c r="BB32" i="3"/>
  <c r="BB33" i="3" s="1"/>
  <c r="BB34" i="3" s="1"/>
  <c r="BE29" i="7"/>
  <c r="BE30" i="7" s="1"/>
  <c r="BE26" i="2" s="1"/>
  <c r="BE5" i="3"/>
  <c r="BE16" i="2"/>
  <c r="BE23" i="2" s="1"/>
  <c r="BE6" i="9"/>
  <c r="BD3" i="9"/>
  <c r="BC4" i="3"/>
  <c r="BC9" i="3" s="1"/>
  <c r="BC29" i="9"/>
  <c r="BG3" i="6" l="1"/>
  <c r="BG15" i="4"/>
  <c r="BG18" i="4" s="1"/>
  <c r="BD35" i="2"/>
  <c r="BD19" i="3" s="1"/>
  <c r="BD20" i="3" s="1"/>
  <c r="BD12" i="9"/>
  <c r="BD18" i="9" s="1"/>
  <c r="BD20" i="9" s="1"/>
  <c r="BD27" i="9" s="1"/>
  <c r="BD29" i="9" s="1"/>
  <c r="BE30" i="2"/>
  <c r="BF13" i="7"/>
  <c r="BF26" i="7" s="1"/>
  <c r="BF28" i="7" s="1"/>
  <c r="BF11" i="6"/>
  <c r="BF4" i="2" s="1"/>
  <c r="BF12" i="2" s="1"/>
  <c r="BF14" i="2" s="1"/>
  <c r="BE28" i="2"/>
  <c r="BF15" i="6"/>
  <c r="BF5" i="2" s="1"/>
  <c r="BE31" i="2"/>
  <c r="BE38" i="2"/>
  <c r="BE27" i="2"/>
  <c r="BD15" i="3"/>
  <c r="BB26" i="3"/>
  <c r="BE14" i="9"/>
  <c r="BG6" i="6"/>
  <c r="BC25" i="3"/>
  <c r="BC29" i="3"/>
  <c r="BC31" i="3" s="1"/>
  <c r="BG4" i="6"/>
  <c r="BG17" i="6"/>
  <c r="BG19" i="6" s="1"/>
  <c r="BG6" i="2" s="1"/>
  <c r="BG13" i="2" s="1"/>
  <c r="BE7" i="9"/>
  <c r="BE9" i="9" s="1"/>
  <c r="BF14" i="7"/>
  <c r="BD22" i="3" l="1"/>
  <c r="BF8" i="2"/>
  <c r="BF6" i="3" s="1"/>
  <c r="BE33" i="2"/>
  <c r="BE37" i="2" s="1"/>
  <c r="BE12" i="3"/>
  <c r="BE15" i="3" s="1"/>
  <c r="BG7" i="6"/>
  <c r="BG11" i="6" s="1"/>
  <c r="BG4" i="2" s="1"/>
  <c r="BC32" i="3"/>
  <c r="BC33" i="3" s="1"/>
  <c r="BC34" i="3" s="1"/>
  <c r="BF29" i="7"/>
  <c r="BF30" i="7" s="1"/>
  <c r="BF26" i="2" s="1"/>
  <c r="BD4" i="3"/>
  <c r="BD9" i="3" s="1"/>
  <c r="BE3" i="9"/>
  <c r="BF31" i="2"/>
  <c r="BF32" i="2"/>
  <c r="BF28" i="2"/>
  <c r="BF30" i="2"/>
  <c r="BF38" i="2"/>
  <c r="BF27" i="2"/>
  <c r="BG22" i="6"/>
  <c r="BG25" i="6" s="1"/>
  <c r="BG7" i="2" s="1"/>
  <c r="BG11" i="2"/>
  <c r="BE12" i="9" l="1"/>
  <c r="BF5" i="3"/>
  <c r="BE35" i="2"/>
  <c r="BE19" i="3" s="1"/>
  <c r="BE20" i="3" s="1"/>
  <c r="BE22" i="3" s="1"/>
  <c r="BE13" i="9"/>
  <c r="BF16" i="2"/>
  <c r="BF23" i="2" s="1"/>
  <c r="BF6" i="9"/>
  <c r="BH3" i="6"/>
  <c r="BH6" i="6" s="1"/>
  <c r="BH15" i="4"/>
  <c r="BH17" i="6" s="1"/>
  <c r="BH19" i="6" s="1"/>
  <c r="BH6" i="2" s="1"/>
  <c r="BH13" i="2" s="1"/>
  <c r="BG13" i="7"/>
  <c r="BG26" i="7" s="1"/>
  <c r="BG28" i="7" s="1"/>
  <c r="BG15" i="6"/>
  <c r="BG5" i="2" s="1"/>
  <c r="BG8" i="2" s="1"/>
  <c r="BG6" i="3" s="1"/>
  <c r="BF33" i="2"/>
  <c r="BF37" i="2" s="1"/>
  <c r="BF12" i="3"/>
  <c r="BF13" i="9" s="1"/>
  <c r="BC26" i="3"/>
  <c r="BD29" i="3"/>
  <c r="BD31" i="3" s="1"/>
  <c r="BD25" i="3"/>
  <c r="BF14" i="9"/>
  <c r="BG12" i="2"/>
  <c r="BG14" i="2" s="1"/>
  <c r="BF7" i="9"/>
  <c r="BE18" i="9" l="1"/>
  <c r="BE20" i="9" s="1"/>
  <c r="BE27" i="9" s="1"/>
  <c r="BE29" i="9" s="1"/>
  <c r="BF9" i="9"/>
  <c r="BH4" i="6"/>
  <c r="BH7" i="6" s="1"/>
  <c r="BI3" i="6" s="1"/>
  <c r="BG14" i="7"/>
  <c r="BG38" i="2" s="1"/>
  <c r="BH18" i="4"/>
  <c r="BH22" i="6" s="1"/>
  <c r="BH25" i="6" s="1"/>
  <c r="BH7" i="2" s="1"/>
  <c r="BF35" i="2"/>
  <c r="BF19" i="3" s="1"/>
  <c r="BF20" i="3" s="1"/>
  <c r="BF12" i="9"/>
  <c r="BF18" i="9" s="1"/>
  <c r="BF15" i="3"/>
  <c r="BD32" i="3"/>
  <c r="BD33" i="3" s="1"/>
  <c r="BD34" i="3" s="1"/>
  <c r="BG29" i="7"/>
  <c r="BG30" i="7" s="1"/>
  <c r="BG26" i="2" s="1"/>
  <c r="BG5" i="3"/>
  <c r="BG16" i="2"/>
  <c r="BG23" i="2" s="1"/>
  <c r="BG6" i="9"/>
  <c r="BF3" i="9" l="1"/>
  <c r="BE4" i="3"/>
  <c r="BE9" i="3" s="1"/>
  <c r="BE25" i="3" s="1"/>
  <c r="BH11" i="2"/>
  <c r="BF20" i="9"/>
  <c r="BF27" i="9" s="1"/>
  <c r="BF29" i="9" s="1"/>
  <c r="BG30" i="2"/>
  <c r="BG31" i="2"/>
  <c r="BG32" i="2"/>
  <c r="BG27" i="2"/>
  <c r="BG28" i="2"/>
  <c r="BI15" i="4"/>
  <c r="BI17" i="6" s="1"/>
  <c r="BI19" i="6" s="1"/>
  <c r="BI6" i="2" s="1"/>
  <c r="BI13" i="2" s="1"/>
  <c r="BH13" i="7"/>
  <c r="BH26" i="7" s="1"/>
  <c r="BH28" i="7" s="1"/>
  <c r="BH11" i="6"/>
  <c r="BH4" i="2" s="1"/>
  <c r="BH12" i="2" s="1"/>
  <c r="BH14" i="2" s="1"/>
  <c r="BH15" i="6"/>
  <c r="BH5" i="2" s="1"/>
  <c r="BF22" i="3"/>
  <c r="BG7" i="9"/>
  <c r="BG9" i="9" s="1"/>
  <c r="BG14" i="9"/>
  <c r="BD26" i="3"/>
  <c r="BI6" i="6"/>
  <c r="BE29" i="3"/>
  <c r="BE31" i="3" s="1"/>
  <c r="BG33" i="2" l="1"/>
  <c r="BG12" i="9" s="1"/>
  <c r="BI18" i="4"/>
  <c r="BI22" i="6" s="1"/>
  <c r="BI25" i="6" s="1"/>
  <c r="BI7" i="2" s="1"/>
  <c r="BI4" i="6"/>
  <c r="BI7" i="6" s="1"/>
  <c r="BH14" i="7"/>
  <c r="BH27" i="2" s="1"/>
  <c r="BG12" i="3"/>
  <c r="BG15" i="3" s="1"/>
  <c r="BH8" i="2"/>
  <c r="BH6" i="3" s="1"/>
  <c r="BF4" i="3"/>
  <c r="BF9" i="3" s="1"/>
  <c r="BF29" i="3" s="1"/>
  <c r="BF31" i="3" s="1"/>
  <c r="BG3" i="9"/>
  <c r="BE32" i="3"/>
  <c r="BE33" i="3" s="1"/>
  <c r="BE34" i="3" s="1"/>
  <c r="BH29" i="7"/>
  <c r="BH30" i="7" s="1"/>
  <c r="BH26" i="2" s="1"/>
  <c r="BI11" i="2" l="1"/>
  <c r="BG35" i="2"/>
  <c r="BG19" i="3" s="1"/>
  <c r="BG20" i="3" s="1"/>
  <c r="BG22" i="3" s="1"/>
  <c r="BG37" i="2"/>
  <c r="BH31" i="2"/>
  <c r="BH32" i="2"/>
  <c r="BH28" i="2"/>
  <c r="BH30" i="2"/>
  <c r="BH38" i="2"/>
  <c r="BG13" i="9"/>
  <c r="BG18" i="9" s="1"/>
  <c r="BG20" i="9" s="1"/>
  <c r="BG27" i="9" s="1"/>
  <c r="BG29" i="9" s="1"/>
  <c r="BI15" i="6"/>
  <c r="BI5" i="2" s="1"/>
  <c r="BJ15" i="4"/>
  <c r="BJ4" i="6" s="1"/>
  <c r="BH5" i="3"/>
  <c r="BH7" i="9" s="1"/>
  <c r="BH16" i="2"/>
  <c r="BH23" i="2" s="1"/>
  <c r="BI11" i="6"/>
  <c r="BI4" i="2" s="1"/>
  <c r="BH6" i="9"/>
  <c r="BI13" i="7"/>
  <c r="BI14" i="7" s="1"/>
  <c r="BJ3" i="6"/>
  <c r="BJ6" i="6" s="1"/>
  <c r="BF25" i="3"/>
  <c r="BE26" i="3"/>
  <c r="BF32" i="3"/>
  <c r="BF33" i="3" s="1"/>
  <c r="BF34" i="3" s="1"/>
  <c r="BH14" i="9"/>
  <c r="BI8" i="2" l="1"/>
  <c r="BI6" i="3" s="1"/>
  <c r="BJ17" i="6"/>
  <c r="BJ19" i="6" s="1"/>
  <c r="BJ6" i="2" s="1"/>
  <c r="BH33" i="2"/>
  <c r="BH35" i="2" s="1"/>
  <c r="BH19" i="3" s="1"/>
  <c r="BH20" i="3" s="1"/>
  <c r="BH12" i="3"/>
  <c r="BH15" i="3" s="1"/>
  <c r="BJ18" i="4"/>
  <c r="BJ11" i="2" s="1"/>
  <c r="BI12" i="2"/>
  <c r="BI14" i="2" s="1"/>
  <c r="BI16" i="2" s="1"/>
  <c r="BI23" i="2" s="1"/>
  <c r="BJ7" i="6"/>
  <c r="BJ11" i="6" s="1"/>
  <c r="BJ4" i="2" s="1"/>
  <c r="BH9" i="9"/>
  <c r="BI26" i="7"/>
  <c r="BI28" i="7" s="1"/>
  <c r="BI29" i="7" s="1"/>
  <c r="BI30" i="7" s="1"/>
  <c r="BI26" i="2" s="1"/>
  <c r="BG4" i="3"/>
  <c r="BG9" i="3" s="1"/>
  <c r="BG29" i="3" s="1"/>
  <c r="BG31" i="3" s="1"/>
  <c r="BH3" i="9"/>
  <c r="BF26" i="3"/>
  <c r="BI6" i="9"/>
  <c r="BI5" i="3"/>
  <c r="BI28" i="2"/>
  <c r="BI38" i="2"/>
  <c r="BI27" i="2"/>
  <c r="BI30" i="2"/>
  <c r="BI31" i="2"/>
  <c r="BI32" i="2"/>
  <c r="BJ15" i="6"/>
  <c r="BJ5" i="2" s="1"/>
  <c r="G5" i="8" s="1"/>
  <c r="BJ13" i="2"/>
  <c r="G13" i="8" s="1"/>
  <c r="G6" i="8"/>
  <c r="BH12" i="9"/>
  <c r="BH37" i="2" l="1"/>
  <c r="BJ22" i="6"/>
  <c r="BJ25" i="6" s="1"/>
  <c r="BJ7" i="2" s="1"/>
  <c r="G7" i="8" s="1"/>
  <c r="BH13" i="9"/>
  <c r="BH18" i="9" s="1"/>
  <c r="BH20" i="9" s="1"/>
  <c r="BH27" i="9" s="1"/>
  <c r="BH29" i="9" s="1"/>
  <c r="BJ13" i="7"/>
  <c r="BJ14" i="7" s="1"/>
  <c r="BH22" i="3"/>
  <c r="BG25" i="3"/>
  <c r="BI12" i="3"/>
  <c r="BI15" i="3" s="1"/>
  <c r="BI33" i="2"/>
  <c r="BI35" i="2" s="1"/>
  <c r="BI19" i="3" s="1"/>
  <c r="BG32" i="3"/>
  <c r="BG33" i="3" s="1"/>
  <c r="BG34" i="3" s="1"/>
  <c r="BJ12" i="2"/>
  <c r="G12" i="8" s="1"/>
  <c r="BJ8" i="2"/>
  <c r="BJ6" i="3" s="1"/>
  <c r="G4" i="8"/>
  <c r="G8" i="8" s="1"/>
  <c r="BI7" i="9"/>
  <c r="BI9" i="9" s="1"/>
  <c r="G11" i="8"/>
  <c r="BI14" i="9"/>
  <c r="BJ26" i="7" l="1"/>
  <c r="BJ28" i="7" s="1"/>
  <c r="BI13" i="9"/>
  <c r="BJ27" i="2"/>
  <c r="G27" i="8" s="1"/>
  <c r="BJ30" i="2"/>
  <c r="G30" i="8" s="1"/>
  <c r="BJ32" i="2"/>
  <c r="G32" i="8" s="1"/>
  <c r="BJ31" i="2"/>
  <c r="G31" i="8" s="1"/>
  <c r="BJ28" i="2"/>
  <c r="G28" i="8" s="1"/>
  <c r="BJ38" i="2"/>
  <c r="G35" i="8" s="1"/>
  <c r="G14" i="8"/>
  <c r="G16" i="8" s="1"/>
  <c r="G23" i="8" s="1"/>
  <c r="BJ14" i="2"/>
  <c r="BJ16" i="2" s="1"/>
  <c r="BJ23" i="2" s="1"/>
  <c r="BJ5" i="3"/>
  <c r="BJ6" i="9"/>
  <c r="BG26" i="3"/>
  <c r="BH4" i="3"/>
  <c r="BH9" i="3" s="1"/>
  <c r="BI3" i="9"/>
  <c r="BI20" i="3"/>
  <c r="BI22" i="3" s="1"/>
  <c r="BJ29" i="7"/>
  <c r="BJ30" i="7" s="1"/>
  <c r="BJ26" i="2" s="1"/>
  <c r="BI37" i="2"/>
  <c r="BI12" i="9"/>
  <c r="BI18" i="9" l="1"/>
  <c r="BI20" i="9" s="1"/>
  <c r="BI27" i="9" s="1"/>
  <c r="BI29" i="9" s="1"/>
  <c r="G6" i="11"/>
  <c r="BJ33" i="2"/>
  <c r="BJ35" i="2" s="1"/>
  <c r="BJ19" i="3" s="1"/>
  <c r="G26" i="8"/>
  <c r="G33" i="8" s="1"/>
  <c r="G36" i="8" s="1"/>
  <c r="BH29" i="3"/>
  <c r="BH31" i="3" s="1"/>
  <c r="BH25" i="3"/>
  <c r="G6" i="10"/>
  <c r="G14" i="11"/>
  <c r="BJ14" i="9"/>
  <c r="G5" i="10"/>
  <c r="G7" i="11"/>
  <c r="BJ7" i="9"/>
  <c r="BJ9" i="9" s="1"/>
  <c r="BJ12" i="3"/>
  <c r="BJ12" i="9" l="1"/>
  <c r="BJ37" i="2"/>
  <c r="BJ13" i="9"/>
  <c r="G13" i="11"/>
  <c r="G12" i="10"/>
  <c r="BJ15" i="3"/>
  <c r="G15" i="10" s="1"/>
  <c r="G19" i="10"/>
  <c r="BJ20" i="3"/>
  <c r="G9" i="11"/>
  <c r="BH32" i="3"/>
  <c r="BH33" i="3" s="1"/>
  <c r="BH34" i="3" s="1"/>
  <c r="BI4" i="3"/>
  <c r="BI9" i="3" s="1"/>
  <c r="BJ3" i="9"/>
  <c r="G12" i="11"/>
  <c r="BJ18" i="9" l="1"/>
  <c r="BJ20" i="9" s="1"/>
  <c r="BJ27" i="9" s="1"/>
  <c r="BJ29" i="9" s="1"/>
  <c r="G18" i="11"/>
  <c r="BI25" i="3"/>
  <c r="BI29" i="3"/>
  <c r="BI31" i="3" s="1"/>
  <c r="G20" i="10"/>
  <c r="BJ22" i="3"/>
  <c r="G22" i="10" s="1"/>
  <c r="BH26" i="3"/>
  <c r="BI32" i="3" l="1"/>
  <c r="BI33" i="3" s="1"/>
  <c r="BI34" i="3" s="1"/>
  <c r="G27" i="11"/>
  <c r="BJ4" i="3"/>
  <c r="G29" i="11"/>
  <c r="BI26" i="3" l="1"/>
  <c r="G4" i="10"/>
  <c r="BJ9" i="3"/>
  <c r="G9" i="10" l="1"/>
  <c r="BJ25" i="3"/>
  <c r="BJ29" i="3"/>
  <c r="BJ31" i="3" s="1"/>
  <c r="BJ32" i="3" l="1"/>
  <c r="BJ33" i="3" s="1"/>
  <c r="BJ34" i="3" s="1"/>
  <c r="BJ26" i="3" s="1"/>
</calcChain>
</file>

<file path=xl/sharedStrings.xml><?xml version="1.0" encoding="utf-8"?>
<sst xmlns="http://schemas.openxmlformats.org/spreadsheetml/2006/main" count="281" uniqueCount="199">
  <si>
    <t xml:space="preserve">Month </t>
  </si>
  <si>
    <t>ASSUMPTIONS</t>
  </si>
  <si>
    <t>Balance Sheet</t>
  </si>
  <si>
    <t>Traffic Detail</t>
  </si>
  <si>
    <t>Monthly CPC Spend</t>
  </si>
  <si>
    <t>Average CPC on Facebook</t>
  </si>
  <si>
    <t>Monthly Facebook Spend</t>
  </si>
  <si>
    <t>Visits per FB Post with Picture</t>
  </si>
  <si>
    <t>Visits per FB Post with Video</t>
  </si>
  <si>
    <t>Facebook Picture Posts</t>
  </si>
  <si>
    <t>Facebook Video Posts</t>
  </si>
  <si>
    <t>Beginning Subscribers</t>
  </si>
  <si>
    <t>New Subscribers</t>
  </si>
  <si>
    <t>Lost Subscribers</t>
  </si>
  <si>
    <t>Ending Subscribers</t>
  </si>
  <si>
    <t>Sales</t>
  </si>
  <si>
    <t>Average Subscription</t>
  </si>
  <si>
    <t>Percentage of Add Ons</t>
  </si>
  <si>
    <t>Average Add On</t>
  </si>
  <si>
    <t>Add On Revenue</t>
  </si>
  <si>
    <t>eCommerce orders</t>
  </si>
  <si>
    <t>Average Order Size</t>
  </si>
  <si>
    <t>eCommerce Revenue</t>
  </si>
  <si>
    <t>Page Views</t>
  </si>
  <si>
    <t>Average CPM</t>
  </si>
  <si>
    <t>Advertising Revenue</t>
  </si>
  <si>
    <t>Churn Percentage</t>
  </si>
  <si>
    <t>Subscription Revenue</t>
  </si>
  <si>
    <t>Gross Revenue</t>
  </si>
  <si>
    <t>SEM -&gt; Subscription Conversion</t>
  </si>
  <si>
    <t>Facebook -&gt; Subscriber Conversion</t>
  </si>
  <si>
    <t>Facebook -&gt; eCommerce Conversion</t>
  </si>
  <si>
    <t>SEM -&gt; eCommerce Conversion</t>
  </si>
  <si>
    <t>Page views per visit</t>
  </si>
  <si>
    <t>Ad impressions per page</t>
  </si>
  <si>
    <t>Average CPC on SEM (Google)</t>
  </si>
  <si>
    <t>Organic SEO Traffic monthly growth rate</t>
  </si>
  <si>
    <t>Direct Traffic</t>
  </si>
  <si>
    <t>SEO visits</t>
  </si>
  <si>
    <t>Direct Traffic Multiplier</t>
  </si>
  <si>
    <t>Total Visits</t>
  </si>
  <si>
    <t>Subscription Margin</t>
  </si>
  <si>
    <t>eCommerce Margin</t>
  </si>
  <si>
    <t>Direct Costs</t>
  </si>
  <si>
    <t>Revenue</t>
  </si>
  <si>
    <t>Subscription</t>
  </si>
  <si>
    <t>Add-ons</t>
  </si>
  <si>
    <t>eCommerce</t>
  </si>
  <si>
    <t>Advertising</t>
  </si>
  <si>
    <t>Total Costs</t>
  </si>
  <si>
    <t>Gross Profit</t>
  </si>
  <si>
    <t>CPC Spend</t>
  </si>
  <si>
    <t>Facebook Spend</t>
  </si>
  <si>
    <t>Indirect Costs</t>
  </si>
  <si>
    <t>Salaries</t>
  </si>
  <si>
    <t>Rent</t>
  </si>
  <si>
    <t>Internet infrastructure</t>
  </si>
  <si>
    <t>Internet Infrastructure base cost / mo</t>
  </si>
  <si>
    <t>Technology</t>
  </si>
  <si>
    <t>Legal and Accounting</t>
  </si>
  <si>
    <t>Travel</t>
  </si>
  <si>
    <t>Training</t>
  </si>
  <si>
    <t>Recruiting</t>
  </si>
  <si>
    <t>Total Indirect Costs</t>
  </si>
  <si>
    <t>EBITDA</t>
  </si>
  <si>
    <t>Dollar Cave Club</t>
  </si>
  <si>
    <t>Organic Traffic -&gt; Subscriber Conversion</t>
  </si>
  <si>
    <t>Organic Traffic -&gt; eCommerce Conversion</t>
  </si>
  <si>
    <t>Subscriber Economics:</t>
  </si>
  <si>
    <t>Facebook</t>
  </si>
  <si>
    <t>Google</t>
  </si>
  <si>
    <t>Employees</t>
  </si>
  <si>
    <t>CEO</t>
  </si>
  <si>
    <t>CTO</t>
  </si>
  <si>
    <t>CMO</t>
  </si>
  <si>
    <t>Developer</t>
  </si>
  <si>
    <t>Designer</t>
  </si>
  <si>
    <t>Ad Specialist</t>
  </si>
  <si>
    <t>Warehouse Manager</t>
  </si>
  <si>
    <t>Warehouse help</t>
  </si>
  <si>
    <t>Orders / warehouse help person</t>
  </si>
  <si>
    <t>Total Salaries</t>
  </si>
  <si>
    <t>Taxes and benefits load</t>
  </si>
  <si>
    <t>Taxes and benefits</t>
  </si>
  <si>
    <t>Total Employee Cost</t>
  </si>
  <si>
    <t>Total:</t>
  </si>
  <si>
    <t>Legal and Accounting Cost per month</t>
  </si>
  <si>
    <t>Tech Cost per employee per month</t>
  </si>
  <si>
    <t>Rent per employee per month</t>
  </si>
  <si>
    <t>Travel cost per employee per month</t>
  </si>
  <si>
    <t>Training Buidget per employee per month</t>
  </si>
  <si>
    <t>Recruiting per added employee</t>
  </si>
  <si>
    <t>YEAR</t>
  </si>
  <si>
    <t>MONTHLY Income Statement</t>
  </si>
  <si>
    <t>ANNUAL Income Statement</t>
  </si>
  <si>
    <t>MONTH</t>
  </si>
  <si>
    <t>Maximum marketing spend of Cash Balance</t>
  </si>
  <si>
    <t>MONTHLY Cash Flow</t>
  </si>
  <si>
    <t>Assets:</t>
  </si>
  <si>
    <t>Cash</t>
  </si>
  <si>
    <t>Accounts Receivable</t>
  </si>
  <si>
    <t>Inventory</t>
  </si>
  <si>
    <t>Fixed Assets</t>
  </si>
  <si>
    <t>Accumulated Depreciation</t>
  </si>
  <si>
    <t>Total Assets</t>
  </si>
  <si>
    <t>Liabilities</t>
  </si>
  <si>
    <t>Accounts Payable</t>
  </si>
  <si>
    <t>Short Term Debt</t>
  </si>
  <si>
    <t>Long Term Debt</t>
  </si>
  <si>
    <t>Total Liabilities</t>
  </si>
  <si>
    <t>Owners Equity</t>
  </si>
  <si>
    <t>Capital Stock</t>
  </si>
  <si>
    <t>Retained Earnings</t>
  </si>
  <si>
    <t>Total Equity</t>
  </si>
  <si>
    <t>Total Liabilities &amp; Equity</t>
  </si>
  <si>
    <t>Average Accounts Receivable Days</t>
  </si>
  <si>
    <t>Average Accounts Payable Days</t>
  </si>
  <si>
    <t>Inventory Days On Hand</t>
  </si>
  <si>
    <t>Capital Raised</t>
  </si>
  <si>
    <t>Beginning Cash Balance</t>
  </si>
  <si>
    <t>Cash Receipts:</t>
  </si>
  <si>
    <t>Gross Sales</t>
  </si>
  <si>
    <t xml:space="preserve">Change in A/R </t>
  </si>
  <si>
    <t>Total Receipts</t>
  </si>
  <si>
    <t>Disbursements:</t>
  </si>
  <si>
    <t>Gross Expenses</t>
  </si>
  <si>
    <t>Change in Inventory Value</t>
  </si>
  <si>
    <t>Amortization &amp; Depreciation</t>
  </si>
  <si>
    <t>Capital Expenditures</t>
  </si>
  <si>
    <t>Income Tax Paid</t>
  </si>
  <si>
    <t>Total Disbursements</t>
  </si>
  <si>
    <t>Net Cash Flow from Operations</t>
  </si>
  <si>
    <t>Equity Financing</t>
  </si>
  <si>
    <t>Interest Income</t>
  </si>
  <si>
    <t>Short Term borrowing</t>
  </si>
  <si>
    <t>Short Term repayments</t>
  </si>
  <si>
    <t>Ending Cash Balance</t>
  </si>
  <si>
    <t xml:space="preserve">Change in A/P </t>
  </si>
  <si>
    <t>ANNUAL Cash Flow</t>
  </si>
  <si>
    <t>Raise at Month 13</t>
  </si>
  <si>
    <t>Lowest balance of the year</t>
  </si>
  <si>
    <t>CAC</t>
  </si>
  <si>
    <t>Months to Payback</t>
  </si>
  <si>
    <t>LTV/CAC</t>
  </si>
  <si>
    <t>CPM growth per month on ads sold</t>
  </si>
  <si>
    <t>Marketing Costs</t>
  </si>
  <si>
    <t>Total Marketing Costs</t>
  </si>
  <si>
    <t>"Enterprise Value"</t>
  </si>
  <si>
    <t>Founders Value</t>
  </si>
  <si>
    <t>NOTE: THIS IS JUST FOR THE ENTREPRENEUR'S REFERENCE - DO NOT SEND THIS TO AN INVESTOR!!</t>
  </si>
  <si>
    <t>Time to Live</t>
  </si>
  <si>
    <t>Raise at Month 1</t>
  </si>
  <si>
    <t>Pre-money Valuation at Month 1</t>
  </si>
  <si>
    <t>Option Pool Size after each round</t>
  </si>
  <si>
    <t>For rounds:</t>
  </si>
  <si>
    <t>New money</t>
  </si>
  <si>
    <t>Pre-money</t>
  </si>
  <si>
    <t>New Money Share</t>
  </si>
  <si>
    <t>New Options Share</t>
  </si>
  <si>
    <t>Old cap table share</t>
  </si>
  <si>
    <t>Founder's share</t>
  </si>
  <si>
    <t>Visits from SEM (Google)</t>
  </si>
  <si>
    <t>Visits from FACEBOOK ADS</t>
  </si>
  <si>
    <t>Visits from Facebook Pictures</t>
  </si>
  <si>
    <t>Visits from Facebook Videos</t>
  </si>
  <si>
    <t>Monthly Subscription Price</t>
  </si>
  <si>
    <t>Max CPM charged on ads sold</t>
  </si>
  <si>
    <t>Monthly Facebook ad spend</t>
  </si>
  <si>
    <t>Monthly SEM Spend (Google ads)</t>
  </si>
  <si>
    <t>Incremental for each 1 million visits/month</t>
  </si>
  <si>
    <t>Multiple for computing enterprise value</t>
  </si>
  <si>
    <t>Subscription Revenue per month</t>
  </si>
  <si>
    <t>Customer Acquisition</t>
  </si>
  <si>
    <t>Average lifetime of subscriber (months)</t>
  </si>
  <si>
    <t>Montly Subscription Churn</t>
  </si>
  <si>
    <t>Contribution Margin per month</t>
  </si>
  <si>
    <t>Lifetime Contribution Margin of subscription</t>
  </si>
  <si>
    <t>Lifetime Contribution Margin of addons</t>
  </si>
  <si>
    <t>Average revenue per addon</t>
  </si>
  <si>
    <t>Average percentage of subs adding on</t>
  </si>
  <si>
    <t>Total Contribution Margin per Subscriber (LTV)</t>
  </si>
  <si>
    <t>Gross Profit - Sales and Marketing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</si>
  <si>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</si>
  <si>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</si>
  <si>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</si>
  <si>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</si>
  <si>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</si>
  <si>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</si>
  <si>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</si>
  <si>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</si>
  <si>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</si>
  <si>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</si>
  <si>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</si>
  <si>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</si>
  <si>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Budget</t>
  </si>
  <si>
    <t>CUSTOMERS</t>
  </si>
  <si>
    <t>REVENUE (MRR)</t>
  </si>
  <si>
    <t xml:space="preserve">CASH </t>
  </si>
  <si>
    <t>https://vcwaves.com/2011/01/18/the-single-best-financial-reporting-tool-ever/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</si>
</sst>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&quot;$&quot;#,##0"/>
    <numFmt numFmtId="168" formatCode="0.0%"/>
    <numFmt numFmtId="169" formatCode="[$-409]mmm\-yy;@"/>
    <numFmt numFmtId="170" formatCode="0.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2"/>
      <color theme="0" tint="-0.1499984740745262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8">
    <xf numFmtId="0" fontId="0" fillId="0" borderId="0" xfId="0"/>
    <xf numFmtId="164" fontId="0" fillId="0" borderId="0" xfId="1" applyNumberFormat="1" applyFont="1"/>
    <xf numFmtId="164" fontId="2" fillId="0" borderId="0" xfId="1" applyNumberFormat="1" applyFont="1"/>
    <xf numFmtId="0" fontId="0" fillId="2" borderId="0" xfId="0" applyFill="1"/>
    <xf numFmtId="165" fontId="0" fillId="2" borderId="0" xfId="2" applyNumberFormat="1" applyFont="1" applyFill="1"/>
    <xf numFmtId="9" fontId="0" fillId="2" borderId="0" xfId="3" applyFont="1" applyFill="1"/>
    <xf numFmtId="44" fontId="0" fillId="2" borderId="0" xfId="2" applyFont="1" applyFill="1"/>
    <xf numFmtId="0" fontId="2" fillId="0" borderId="0" xfId="0" applyFont="1"/>
    <xf numFmtId="44" fontId="0" fillId="0" borderId="0" xfId="2" applyFont="1"/>
    <xf numFmtId="165" fontId="0" fillId="0" borderId="0" xfId="2" applyNumberFormat="1" applyFont="1"/>
    <xf numFmtId="1" fontId="0" fillId="0" borderId="0" xfId="0" applyNumberFormat="1"/>
    <xf numFmtId="10" fontId="0" fillId="2" borderId="0" xfId="3" applyNumberFormat="1" applyFont="1" applyFill="1"/>
    <xf numFmtId="44" fontId="2" fillId="0" borderId="0" xfId="0" applyNumberFormat="1" applyFont="1"/>
    <xf numFmtId="44" fontId="0" fillId="2" borderId="0" xfId="2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0" fontId="0" fillId="2" borderId="0" xfId="3" applyNumberFormat="1" applyFont="1" applyFill="1" applyAlignment="1">
      <alignment horizontal="right"/>
    </xf>
    <xf numFmtId="44" fontId="0" fillId="2" borderId="0" xfId="0" applyNumberFormat="1" applyFill="1"/>
    <xf numFmtId="166" fontId="0" fillId="0" borderId="0" xfId="1" applyNumberFormat="1" applyFont="1"/>
    <xf numFmtId="44" fontId="0" fillId="0" borderId="0" xfId="0" applyNumberFormat="1"/>
    <xf numFmtId="165" fontId="2" fillId="0" borderId="0" xfId="2" applyNumberFormat="1" applyFont="1"/>
    <xf numFmtId="165" fontId="2" fillId="0" borderId="0" xfId="2" applyNumberFormat="1" applyFont="1" applyAlignment="1">
      <alignment horizontal="right"/>
    </xf>
    <xf numFmtId="165" fontId="0" fillId="0" borderId="0" xfId="0" applyNumberFormat="1"/>
    <xf numFmtId="165" fontId="2" fillId="0" borderId="0" xfId="0" applyNumberFormat="1" applyFont="1"/>
    <xf numFmtId="0" fontId="5" fillId="0" borderId="0" xfId="0" applyFont="1"/>
    <xf numFmtId="10" fontId="0" fillId="0" borderId="0" xfId="0" applyNumberFormat="1"/>
    <xf numFmtId="1" fontId="2" fillId="0" borderId="0" xfId="0" applyNumberFormat="1" applyFont="1"/>
    <xf numFmtId="0" fontId="2" fillId="3" borderId="0" xfId="0" applyFont="1" applyFill="1"/>
    <xf numFmtId="49" fontId="0" fillId="0" borderId="0" xfId="0" applyNumberFormat="1"/>
    <xf numFmtId="49" fontId="2" fillId="0" borderId="0" xfId="0" applyNumberFormat="1" applyFont="1"/>
    <xf numFmtId="49" fontId="2" fillId="3" borderId="0" xfId="0" applyNumberFormat="1" applyFont="1" applyFill="1"/>
    <xf numFmtId="165" fontId="2" fillId="3" borderId="0" xfId="2" applyNumberFormat="1" applyFont="1" applyFill="1"/>
    <xf numFmtId="49" fontId="2" fillId="0" borderId="0" xfId="0" applyNumberFormat="1" applyFont="1" applyAlignment="1">
      <alignment horizontal="right"/>
    </xf>
    <xf numFmtId="0" fontId="0" fillId="0" borderId="0" xfId="0" applyFill="1"/>
    <xf numFmtId="10" fontId="0" fillId="0" borderId="0" xfId="3" applyNumberFormat="1" applyFont="1" applyFill="1"/>
    <xf numFmtId="9" fontId="0" fillId="0" borderId="0" xfId="3" applyFont="1" applyFill="1"/>
    <xf numFmtId="165" fontId="0" fillId="0" borderId="0" xfId="0" applyNumberFormat="1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164" fontId="0" fillId="2" borderId="0" xfId="1" applyNumberFormat="1" applyFont="1" applyFill="1"/>
    <xf numFmtId="0" fontId="0" fillId="0" borderId="0" xfId="0" applyAlignment="1">
      <alignment horizontal="left" indent="3"/>
    </xf>
    <xf numFmtId="164" fontId="0" fillId="0" borderId="0" xfId="1" applyNumberFormat="1" applyFont="1" applyFill="1"/>
    <xf numFmtId="0" fontId="2" fillId="0" borderId="0" xfId="0" applyFont="1" applyAlignment="1">
      <alignment horizontal="left" indent="2"/>
    </xf>
    <xf numFmtId="165" fontId="2" fillId="0" borderId="0" xfId="2" applyNumberFormat="1" applyFont="1" applyAlignment="1">
      <alignment horizontal="left" indent="2"/>
    </xf>
    <xf numFmtId="165" fontId="2" fillId="3" borderId="0" xfId="2" applyNumberFormat="1" applyFont="1" applyFill="1" applyAlignment="1">
      <alignment horizontal="left" indent="2"/>
    </xf>
    <xf numFmtId="0" fontId="2" fillId="3" borderId="0" xfId="0" applyFont="1" applyFill="1" applyAlignment="1">
      <alignment horizontal="left" indent="2"/>
    </xf>
    <xf numFmtId="164" fontId="2" fillId="3" borderId="0" xfId="1" applyNumberFormat="1" applyFont="1" applyFill="1"/>
    <xf numFmtId="49" fontId="0" fillId="0" borderId="0" xfId="0" applyNumberFormat="1" applyFill="1"/>
    <xf numFmtId="49" fontId="2" fillId="0" borderId="0" xfId="0" applyNumberFormat="1" applyFont="1" applyFill="1"/>
    <xf numFmtId="165" fontId="2" fillId="0" borderId="0" xfId="2" applyNumberFormat="1" applyFont="1" applyFill="1"/>
    <xf numFmtId="165" fontId="2" fillId="0" borderId="0" xfId="2" applyNumberFormat="1" applyFont="1" applyAlignment="1">
      <alignment horizontal="left" indent="3"/>
    </xf>
    <xf numFmtId="0" fontId="0" fillId="4" borderId="0" xfId="0" applyFill="1"/>
    <xf numFmtId="167" fontId="0" fillId="0" borderId="0" xfId="2" applyNumberFormat="1" applyFont="1"/>
    <xf numFmtId="165" fontId="0" fillId="4" borderId="0" xfId="2" applyNumberFormat="1" applyFont="1" applyFill="1"/>
    <xf numFmtId="0" fontId="7" fillId="0" borderId="0" xfId="0" applyFont="1"/>
    <xf numFmtId="0" fontId="0" fillId="0" borderId="0" xfId="0" applyFont="1"/>
    <xf numFmtId="44" fontId="2" fillId="3" borderId="0" xfId="0" applyNumberFormat="1" applyFont="1" applyFill="1"/>
    <xf numFmtId="43" fontId="0" fillId="0" borderId="0" xfId="1" applyFont="1"/>
    <xf numFmtId="0" fontId="0" fillId="5" borderId="0" xfId="0" applyFill="1"/>
    <xf numFmtId="1" fontId="0" fillId="5" borderId="0" xfId="0" applyNumberFormat="1" applyFill="1"/>
    <xf numFmtId="168" fontId="0" fillId="2" borderId="0" xfId="3" applyNumberFormat="1" applyFont="1" applyFill="1"/>
    <xf numFmtId="166" fontId="0" fillId="2" borderId="0" xfId="1" applyNumberFormat="1" applyFont="1" applyFill="1"/>
    <xf numFmtId="165" fontId="0" fillId="0" borderId="0" xfId="0" applyNumberFormat="1" applyFont="1"/>
    <xf numFmtId="0" fontId="8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left" indent="1"/>
    </xf>
    <xf numFmtId="166" fontId="2" fillId="3" borderId="0" xfId="1" applyNumberFormat="1" applyFont="1" applyFill="1"/>
    <xf numFmtId="0" fontId="9" fillId="0" borderId="0" xfId="0" applyFont="1"/>
    <xf numFmtId="165" fontId="9" fillId="0" borderId="0" xfId="2" applyNumberFormat="1" applyFont="1"/>
    <xf numFmtId="165" fontId="9" fillId="0" borderId="0" xfId="0" applyNumberFormat="1" applyFont="1"/>
    <xf numFmtId="9" fontId="9" fillId="0" borderId="0" xfId="3" applyFont="1"/>
    <xf numFmtId="9" fontId="9" fillId="0" borderId="0" xfId="3" applyNumberFormat="1" applyFont="1"/>
    <xf numFmtId="9" fontId="9" fillId="0" borderId="0" xfId="3" applyNumberFormat="1" applyFont="1" applyAlignment="1">
      <alignment horizontal="right"/>
    </xf>
    <xf numFmtId="169" fontId="2" fillId="0" borderId="0" xfId="1" applyNumberFormat="1" applyFont="1"/>
    <xf numFmtId="169" fontId="0" fillId="0" borderId="0" xfId="1" applyNumberFormat="1" applyFont="1" applyAlignment="1">
      <alignment horizontal="right"/>
    </xf>
    <xf numFmtId="1" fontId="2" fillId="0" borderId="0" xfId="1" applyNumberFormat="1" applyFont="1"/>
    <xf numFmtId="165" fontId="0" fillId="6" borderId="0" xfId="2" applyNumberFormat="1" applyFont="1" applyFill="1"/>
    <xf numFmtId="164" fontId="0" fillId="6" borderId="0" xfId="1" applyNumberFormat="1" applyFont="1" applyFill="1"/>
    <xf numFmtId="0" fontId="0" fillId="6" borderId="0" xfId="0" applyFill="1"/>
    <xf numFmtId="165" fontId="0" fillId="6" borderId="0" xfId="0" applyNumberFormat="1" applyFill="1"/>
    <xf numFmtId="164" fontId="2" fillId="6" borderId="0" xfId="1" applyNumberFormat="1" applyFont="1" applyFill="1"/>
    <xf numFmtId="164" fontId="2" fillId="0" borderId="0" xfId="1" applyNumberFormat="1" applyFont="1" applyFill="1"/>
    <xf numFmtId="10" fontId="0" fillId="6" borderId="0" xfId="3" applyNumberFormat="1" applyFont="1" applyFill="1"/>
    <xf numFmtId="44" fontId="0" fillId="6" borderId="0" xfId="2" applyFont="1" applyFill="1" applyAlignment="1">
      <alignment horizontal="right"/>
    </xf>
    <xf numFmtId="0" fontId="0" fillId="6" borderId="0" xfId="0" applyFill="1" applyAlignment="1">
      <alignment horizontal="right"/>
    </xf>
    <xf numFmtId="165" fontId="2" fillId="6" borderId="0" xfId="2" applyNumberFormat="1" applyFont="1" applyFill="1" applyAlignment="1">
      <alignment horizontal="right"/>
    </xf>
    <xf numFmtId="10" fontId="0" fillId="6" borderId="0" xfId="3" applyNumberFormat="1" applyFont="1" applyFill="1" applyAlignment="1">
      <alignment horizontal="right"/>
    </xf>
    <xf numFmtId="44" fontId="0" fillId="6" borderId="0" xfId="0" applyNumberFormat="1" applyFill="1"/>
    <xf numFmtId="165" fontId="2" fillId="6" borderId="0" xfId="2" applyNumberFormat="1" applyFont="1" applyFill="1"/>
    <xf numFmtId="44" fontId="0" fillId="6" borderId="0" xfId="2" applyFont="1" applyFill="1"/>
    <xf numFmtId="169" fontId="2" fillId="6" borderId="0" xfId="1" applyNumberFormat="1" applyFont="1" applyFill="1"/>
    <xf numFmtId="165" fontId="2" fillId="6" borderId="0" xfId="0" applyNumberFormat="1" applyFont="1" applyFill="1"/>
    <xf numFmtId="165" fontId="0" fillId="6" borderId="0" xfId="0" applyNumberFormat="1" applyFont="1" applyFill="1"/>
    <xf numFmtId="1" fontId="0" fillId="6" borderId="0" xfId="0" applyNumberFormat="1" applyFill="1"/>
    <xf numFmtId="165" fontId="0" fillId="3" borderId="0" xfId="2" applyNumberFormat="1" applyFont="1" applyFill="1"/>
    <xf numFmtId="0" fontId="6" fillId="3" borderId="0" xfId="0" applyFont="1" applyFill="1" applyAlignment="1">
      <alignment horizontal="left" indent="1"/>
    </xf>
    <xf numFmtId="170" fontId="0" fillId="0" borderId="0" xfId="0" applyNumberFormat="1"/>
    <xf numFmtId="1" fontId="2" fillId="6" borderId="0" xfId="0" applyNumberFormat="1" applyFont="1" applyFill="1"/>
    <xf numFmtId="0" fontId="11" fillId="0" borderId="0" xfId="0" applyFont="1" applyAlignment="1">
      <alignment horizontal="right"/>
    </xf>
    <xf numFmtId="0" fontId="0" fillId="0" borderId="4" xfId="0" applyBorder="1"/>
    <xf numFmtId="0" fontId="0" fillId="5" borderId="4" xfId="0" applyFill="1" applyBorder="1"/>
    <xf numFmtId="164" fontId="0" fillId="5" borderId="0" xfId="1" applyNumberFormat="1" applyFont="1" applyFill="1" applyBorder="1"/>
    <xf numFmtId="164" fontId="0" fillId="5" borderId="5" xfId="1" applyNumberFormat="1" applyFont="1" applyFill="1" applyBorder="1"/>
    <xf numFmtId="164" fontId="2" fillId="7" borderId="0" xfId="1" applyNumberFormat="1" applyFont="1" applyFill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164" fontId="12" fillId="7" borderId="0" xfId="1" applyNumberFormat="1" applyFont="1" applyFill="1" applyBorder="1"/>
    <xf numFmtId="164" fontId="0" fillId="7" borderId="0" xfId="1" applyNumberFormat="1" applyFont="1" applyFill="1" applyBorder="1"/>
    <xf numFmtId="0" fontId="0" fillId="0" borderId="6" xfId="0" applyBorder="1"/>
    <xf numFmtId="164" fontId="0" fillId="0" borderId="7" xfId="1" applyNumberFormat="1" applyFont="1" applyBorder="1"/>
    <xf numFmtId="164" fontId="0" fillId="7" borderId="8" xfId="1" applyNumberFormat="1" applyFont="1" applyFill="1" applyBorder="1"/>
    <xf numFmtId="0" fontId="2" fillId="8" borderId="1" xfId="0" applyFont="1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6" xfId="0" applyFill="1" applyBorder="1"/>
    <xf numFmtId="0" fontId="11" fillId="8" borderId="7" xfId="0" applyFont="1" applyFill="1" applyBorder="1" applyAlignment="1">
      <alignment horizontal="right"/>
    </xf>
    <xf numFmtId="0" fontId="11" fillId="8" borderId="8" xfId="0" applyFont="1" applyFill="1" applyBorder="1" applyAlignment="1">
      <alignment horizontal="right"/>
    </xf>
  </cellXfs>
  <cellStyles count="150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Normal" xfId="0" builtinId="0"/>
    <cellStyle name="Percent" xfId="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'Monthly Income Statement'!$C$8:$BJ$8</c:f>
              <c:numCache>
                <c:formatCode>_("$"* #,##0_);_("$"* \(#,##0\);_("$"* "-"??_);_(@_)</c:formatCode>
                <c:ptCount val="60"/>
                <c:pt idx="0">
                  <c:v>3613.2637449999997</c:v>
                </c:pt>
                <c:pt idx="1">
                  <c:v>3941.3917240000001</c:v>
                </c:pt>
                <c:pt idx="2">
                  <c:v>4353.519779799999</c:v>
                </c:pt>
                <c:pt idx="3">
                  <c:v>4916.8579048000001</c:v>
                </c:pt>
                <c:pt idx="4">
                  <c:v>22465.296064000002</c:v>
                </c:pt>
                <c:pt idx="5">
                  <c:v>27610.358507556801</c:v>
                </c:pt>
                <c:pt idx="6">
                  <c:v>32527.912440786335</c:v>
                </c:pt>
                <c:pt idx="7">
                  <c:v>37320.299512205049</c:v>
                </c:pt>
                <c:pt idx="8">
                  <c:v>42060.449435936134</c:v>
                </c:pt>
                <c:pt idx="9">
                  <c:v>46633.079988839345</c:v>
                </c:pt>
                <c:pt idx="10">
                  <c:v>51119.976332605707</c:v>
                </c:pt>
                <c:pt idx="11">
                  <c:v>55502.594298365722</c:v>
                </c:pt>
                <c:pt idx="12">
                  <c:v>59824.80093850226</c:v>
                </c:pt>
                <c:pt idx="13">
                  <c:v>64042.795471070058</c:v>
                </c:pt>
                <c:pt idx="14">
                  <c:v>68207.000890998723</c:v>
                </c:pt>
                <c:pt idx="15">
                  <c:v>72258.875224502481</c:v>
                </c:pt>
                <c:pt idx="16">
                  <c:v>76246.805385299464</c:v>
                </c:pt>
                <c:pt idx="17">
                  <c:v>80152.618433262673</c:v>
                </c:pt>
                <c:pt idx="18">
                  <c:v>84038.796329560835</c:v>
                </c:pt>
                <c:pt idx="19">
                  <c:v>87942.017392781054</c:v>
                </c:pt>
                <c:pt idx="20">
                  <c:v>91813.044441236052</c:v>
                </c:pt>
                <c:pt idx="21">
                  <c:v>95410.322524641</c:v>
                </c:pt>
                <c:pt idx="22">
                  <c:v>98956.108144685626</c:v>
                </c:pt>
                <c:pt idx="23">
                  <c:v>102540.58580335179</c:v>
                </c:pt>
                <c:pt idx="24">
                  <c:v>106076.79500462969</c:v>
                </c:pt>
                <c:pt idx="25">
                  <c:v>109691.73857475708</c:v>
                </c:pt>
                <c:pt idx="26">
                  <c:v>113355.00264030292</c:v>
                </c:pt>
                <c:pt idx="27">
                  <c:v>117045.55261424836</c:v>
                </c:pt>
                <c:pt idx="28">
                  <c:v>120825.14628057543</c:v>
                </c:pt>
                <c:pt idx="29">
                  <c:v>124636.11810114185</c:v>
                </c:pt>
                <c:pt idx="30">
                  <c:v>128606.22449931098</c:v>
                </c:pt>
                <c:pt idx="31">
                  <c:v>132649.19463196932</c:v>
                </c:pt>
                <c:pt idx="32">
                  <c:v>136866.65670706349</c:v>
                </c:pt>
                <c:pt idx="33">
                  <c:v>141296.58256586798</c:v>
                </c:pt>
                <c:pt idx="34">
                  <c:v>145845.60394292386</c:v>
                </c:pt>
                <c:pt idx="35">
                  <c:v>150689.7719358239</c:v>
                </c:pt>
                <c:pt idx="36">
                  <c:v>155839.09713983088</c:v>
                </c:pt>
                <c:pt idx="37">
                  <c:v>161231.15045801771</c:v>
                </c:pt>
                <c:pt idx="38">
                  <c:v>167015.64482994858</c:v>
                </c:pt>
                <c:pt idx="39">
                  <c:v>173203.74239238654</c:v>
                </c:pt>
                <c:pt idx="40">
                  <c:v>179807.03941153776</c:v>
                </c:pt>
                <c:pt idx="41">
                  <c:v>186985.4036849977</c:v>
                </c:pt>
                <c:pt idx="42">
                  <c:v>194641.19804213586</c:v>
                </c:pt>
                <c:pt idx="43">
                  <c:v>203020.55654597122</c:v>
                </c:pt>
                <c:pt idx="44">
                  <c:v>212014.12222635164</c:v>
                </c:pt>
                <c:pt idx="45">
                  <c:v>221875.90904071036</c:v>
                </c:pt>
                <c:pt idx="46">
                  <c:v>232631.0865276579</c:v>
                </c:pt>
                <c:pt idx="47">
                  <c:v>244340.29859696055</c:v>
                </c:pt>
                <c:pt idx="48">
                  <c:v>257190.26937473539</c:v>
                </c:pt>
                <c:pt idx="49">
                  <c:v>271249.17996065778</c:v>
                </c:pt>
                <c:pt idx="50">
                  <c:v>286586.53336628835</c:v>
                </c:pt>
                <c:pt idx="51">
                  <c:v>303568.87655419251</c:v>
                </c:pt>
                <c:pt idx="52">
                  <c:v>322245.56607827614</c:v>
                </c:pt>
                <c:pt idx="53">
                  <c:v>342805.83966943144</c:v>
                </c:pt>
                <c:pt idx="54">
                  <c:v>365506.97432745976</c:v>
                </c:pt>
                <c:pt idx="55">
                  <c:v>390589.03171099204</c:v>
                </c:pt>
                <c:pt idx="56">
                  <c:v>418297.38149260532</c:v>
                </c:pt>
                <c:pt idx="57">
                  <c:v>448923.10993806238</c:v>
                </c:pt>
                <c:pt idx="58">
                  <c:v>482803.55850932305</c:v>
                </c:pt>
                <c:pt idx="59">
                  <c:v>520366.4924084181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3-DA4E-AA03-47A025FE4849}"/>
            </c:ext>
          </c:extLst>
        </c:ser>
        <c:ser>
          <c:idx val="1"/>
          <c:order val="1"/>
          <c:invertIfNegative val="0"/>
          <c:val>
            <c:numRef>
              <c:f>'Monthly Income Statement'!$C$37:$BJ$37</c:f>
              <c:numCache>
                <c:formatCode>_("$"* #,##0_);_("$"* \(#,##0\);_("$"* "-"??_);_(@_)</c:formatCode>
                <c:ptCount val="60"/>
                <c:pt idx="0">
                  <c:v>43196.921666666669</c:v>
                </c:pt>
                <c:pt idx="1">
                  <c:v>43462.182166666673</c:v>
                </c:pt>
                <c:pt idx="2">
                  <c:v>71588.581666666665</c:v>
                </c:pt>
                <c:pt idx="3">
                  <c:v>78426.842333333349</c:v>
                </c:pt>
                <c:pt idx="4">
                  <c:v>104815.48733333334</c:v>
                </c:pt>
                <c:pt idx="5">
                  <c:v>108217.48164040843</c:v>
                </c:pt>
                <c:pt idx="6">
                  <c:v>111544.96705295841</c:v>
                </c:pt>
                <c:pt idx="7">
                  <c:v>114765.01537872941</c:v>
                </c:pt>
                <c:pt idx="8">
                  <c:v>117928.94039651079</c:v>
                </c:pt>
                <c:pt idx="9">
                  <c:v>120957.51960701328</c:v>
                </c:pt>
                <c:pt idx="10">
                  <c:v>123908.88576125953</c:v>
                </c:pt>
                <c:pt idx="11">
                  <c:v>126769.00265892968</c:v>
                </c:pt>
                <c:pt idx="12">
                  <c:v>145942.52683101647</c:v>
                </c:pt>
                <c:pt idx="13">
                  <c:v>143666.41746810902</c:v>
                </c:pt>
                <c:pt idx="14">
                  <c:v>146339.8382224557</c:v>
                </c:pt>
                <c:pt idx="15">
                  <c:v>148921.43491622101</c:v>
                </c:pt>
                <c:pt idx="16">
                  <c:v>151454.22384512049</c:v>
                </c:pt>
                <c:pt idx="17">
                  <c:v>153916.76529174298</c:v>
                </c:pt>
                <c:pt idx="18">
                  <c:v>156354.72367643728</c:v>
                </c:pt>
                <c:pt idx="19">
                  <c:v>158792.87769201811</c:v>
                </c:pt>
                <c:pt idx="20">
                  <c:v>161197.1916787159</c:v>
                </c:pt>
                <c:pt idx="21">
                  <c:v>173684.6136192983</c:v>
                </c:pt>
                <c:pt idx="22">
                  <c:v>171022.098395045</c:v>
                </c:pt>
                <c:pt idx="23">
                  <c:v>173387.73946228332</c:v>
                </c:pt>
                <c:pt idx="24">
                  <c:v>175722.25349918206</c:v>
                </c:pt>
                <c:pt idx="25">
                  <c:v>178111.18178264337</c:v>
                </c:pt>
                <c:pt idx="26">
                  <c:v>180534.80918230733</c:v>
                </c:pt>
                <c:pt idx="27">
                  <c:v>182976.68679092667</c:v>
                </c:pt>
                <c:pt idx="28">
                  <c:v>185479.9576206989</c:v>
                </c:pt>
                <c:pt idx="29">
                  <c:v>188004.16205857304</c:v>
                </c:pt>
                <c:pt idx="30">
                  <c:v>190638.62649091682</c:v>
                </c:pt>
                <c:pt idx="31">
                  <c:v>193321.19845656556</c:v>
                </c:pt>
                <c:pt idx="32">
                  <c:v>196121.24126627322</c:v>
                </c:pt>
                <c:pt idx="33">
                  <c:v>199066.84519781472</c:v>
                </c:pt>
                <c:pt idx="34">
                  <c:v>202090.85427376258</c:v>
                </c:pt>
                <c:pt idx="35">
                  <c:v>205314.68653104221</c:v>
                </c:pt>
                <c:pt idx="36">
                  <c:v>208745.16449898167</c:v>
                </c:pt>
                <c:pt idx="37">
                  <c:v>212338.38687753794</c:v>
                </c:pt>
                <c:pt idx="38">
                  <c:v>216195.63279899262</c:v>
                </c:pt>
                <c:pt idx="39">
                  <c:v>220324.46818767505</c:v>
                </c:pt>
                <c:pt idx="40">
                  <c:v>224732.74298917939</c:v>
                </c:pt>
                <c:pt idx="41">
                  <c:v>229528.77157699713</c:v>
                </c:pt>
                <c:pt idx="42">
                  <c:v>234645.52933492925</c:v>
                </c:pt>
                <c:pt idx="43">
                  <c:v>240251.65746517543</c:v>
                </c:pt>
                <c:pt idx="44">
                  <c:v>246268.56063517678</c:v>
                </c:pt>
                <c:pt idx="45">
                  <c:v>252870.31677740894</c:v>
                </c:pt>
                <c:pt idx="46">
                  <c:v>260074.06633784639</c:v>
                </c:pt>
                <c:pt idx="47">
                  <c:v>267920.08943696239</c:v>
                </c:pt>
                <c:pt idx="48">
                  <c:v>276535.21855831426</c:v>
                </c:pt>
                <c:pt idx="49">
                  <c:v>285964.89596692537</c:v>
                </c:pt>
                <c:pt idx="50">
                  <c:v>296255.42842673376</c:v>
                </c:pt>
                <c:pt idx="51">
                  <c:v>307656.03575013793</c:v>
                </c:pt>
                <c:pt idx="52">
                  <c:v>320200.41929433233</c:v>
                </c:pt>
                <c:pt idx="53">
                  <c:v>334013.52439293789</c:v>
                </c:pt>
                <c:pt idx="54">
                  <c:v>359391.08711977844</c:v>
                </c:pt>
                <c:pt idx="55">
                  <c:v>371258.45288617804</c:v>
                </c:pt>
                <c:pt idx="56">
                  <c:v>389899.50823795953</c:v>
                </c:pt>
                <c:pt idx="57">
                  <c:v>410511.7089963819</c:v>
                </c:pt>
                <c:pt idx="58">
                  <c:v>433323.10277118458</c:v>
                </c:pt>
                <c:pt idx="59">
                  <c:v>458626.53232358576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3-DA4E-AA03-47A025FE4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96411328"/>
        <c:axId val="-1682289120"/>
      </c:barChart>
      <c:catAx>
        <c:axId val="-1796411328"/>
        <c:scaling>
          <c:orientation val="minMax"/>
        </c:scaling>
        <c:delete val="0"/>
        <c:axPos val="b"/>
        <c:majorTickMark val="out"/>
        <c:minorTickMark val="none"/>
        <c:tickLblPos val="nextTo"/>
        <c:crossAx val="-1682289120"/>
        <c:crosses val="autoZero"/>
        <c:auto val="1"/>
        <c:lblAlgn val="ctr"/>
        <c:lblOffset val="100"/>
        <c:noMultiLvlLbl val="0"/>
      </c:catAx>
      <c:valAx>
        <c:axId val="-1682289120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-1796411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</a:t>
            </a:r>
            <a:r>
              <a:rPr lang="en-US" baseline="0"/>
              <a:t> and Expenses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000508177283"/>
          <c:y val="0.106313403737919"/>
          <c:w val="0.81011454788900195"/>
          <c:h val="0.84471752054615201"/>
        </c:manualLayout>
      </c:layout>
      <c:lineChart>
        <c:grouping val="standard"/>
        <c:varyColors val="0"/>
        <c:ser>
          <c:idx val="0"/>
          <c:order val="0"/>
          <c:tx>
            <c:v>Revenue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'Monthly Income Statement'!$C$8:$BJ$8</c:f>
              <c:numCache>
                <c:formatCode>_("$"* #,##0_);_("$"* \(#,##0\);_("$"* "-"??_);_(@_)</c:formatCode>
                <c:ptCount val="60"/>
                <c:pt idx="0">
                  <c:v>3613.2637449999997</c:v>
                </c:pt>
                <c:pt idx="1">
                  <c:v>3941.3917240000001</c:v>
                </c:pt>
                <c:pt idx="2">
                  <c:v>4353.519779799999</c:v>
                </c:pt>
                <c:pt idx="3">
                  <c:v>4916.8579048000001</c:v>
                </c:pt>
                <c:pt idx="4">
                  <c:v>22465.296064000002</c:v>
                </c:pt>
                <c:pt idx="5">
                  <c:v>27610.358507556801</c:v>
                </c:pt>
                <c:pt idx="6">
                  <c:v>32527.912440786335</c:v>
                </c:pt>
                <c:pt idx="7">
                  <c:v>37320.299512205049</c:v>
                </c:pt>
                <c:pt idx="8">
                  <c:v>42060.449435936134</c:v>
                </c:pt>
                <c:pt idx="9">
                  <c:v>46633.079988839345</c:v>
                </c:pt>
                <c:pt idx="10">
                  <c:v>51119.976332605707</c:v>
                </c:pt>
                <c:pt idx="11">
                  <c:v>55502.594298365722</c:v>
                </c:pt>
                <c:pt idx="12">
                  <c:v>59824.80093850226</c:v>
                </c:pt>
                <c:pt idx="13">
                  <c:v>64042.795471070058</c:v>
                </c:pt>
                <c:pt idx="14">
                  <c:v>68207.000890998723</c:v>
                </c:pt>
                <c:pt idx="15">
                  <c:v>72258.875224502481</c:v>
                </c:pt>
                <c:pt idx="16">
                  <c:v>76246.805385299464</c:v>
                </c:pt>
                <c:pt idx="17">
                  <c:v>80152.618433262673</c:v>
                </c:pt>
                <c:pt idx="18">
                  <c:v>84038.796329560835</c:v>
                </c:pt>
                <c:pt idx="19">
                  <c:v>87942.017392781054</c:v>
                </c:pt>
                <c:pt idx="20">
                  <c:v>91813.044441236052</c:v>
                </c:pt>
                <c:pt idx="21">
                  <c:v>95410.322524641</c:v>
                </c:pt>
                <c:pt idx="22">
                  <c:v>98956.108144685626</c:v>
                </c:pt>
                <c:pt idx="23">
                  <c:v>102540.58580335179</c:v>
                </c:pt>
                <c:pt idx="24">
                  <c:v>106076.79500462969</c:v>
                </c:pt>
                <c:pt idx="25">
                  <c:v>109691.73857475708</c:v>
                </c:pt>
                <c:pt idx="26">
                  <c:v>113355.00264030292</c:v>
                </c:pt>
                <c:pt idx="27">
                  <c:v>117045.55261424836</c:v>
                </c:pt>
                <c:pt idx="28">
                  <c:v>120825.14628057543</c:v>
                </c:pt>
                <c:pt idx="29">
                  <c:v>124636.11810114185</c:v>
                </c:pt>
                <c:pt idx="30">
                  <c:v>128606.22449931098</c:v>
                </c:pt>
                <c:pt idx="31">
                  <c:v>132649.19463196932</c:v>
                </c:pt>
                <c:pt idx="32">
                  <c:v>136866.65670706349</c:v>
                </c:pt>
                <c:pt idx="33">
                  <c:v>141296.58256586798</c:v>
                </c:pt>
                <c:pt idx="34">
                  <c:v>145845.60394292386</c:v>
                </c:pt>
                <c:pt idx="35">
                  <c:v>150689.7719358239</c:v>
                </c:pt>
                <c:pt idx="36">
                  <c:v>155839.09713983088</c:v>
                </c:pt>
                <c:pt idx="37">
                  <c:v>161231.15045801771</c:v>
                </c:pt>
                <c:pt idx="38">
                  <c:v>167015.64482994858</c:v>
                </c:pt>
                <c:pt idx="39">
                  <c:v>173203.74239238654</c:v>
                </c:pt>
                <c:pt idx="40">
                  <c:v>179807.03941153776</c:v>
                </c:pt>
                <c:pt idx="41">
                  <c:v>186985.4036849977</c:v>
                </c:pt>
                <c:pt idx="42">
                  <c:v>194641.19804213586</c:v>
                </c:pt>
                <c:pt idx="43">
                  <c:v>203020.55654597122</c:v>
                </c:pt>
                <c:pt idx="44">
                  <c:v>212014.12222635164</c:v>
                </c:pt>
                <c:pt idx="45">
                  <c:v>221875.90904071036</c:v>
                </c:pt>
                <c:pt idx="46">
                  <c:v>232631.0865276579</c:v>
                </c:pt>
                <c:pt idx="47">
                  <c:v>244340.29859696055</c:v>
                </c:pt>
                <c:pt idx="48">
                  <c:v>257190.26937473539</c:v>
                </c:pt>
                <c:pt idx="49">
                  <c:v>271249.17996065778</c:v>
                </c:pt>
                <c:pt idx="50">
                  <c:v>286586.53336628835</c:v>
                </c:pt>
                <c:pt idx="51">
                  <c:v>303568.87655419251</c:v>
                </c:pt>
                <c:pt idx="52">
                  <c:v>322245.56607827614</c:v>
                </c:pt>
                <c:pt idx="53">
                  <c:v>342805.83966943144</c:v>
                </c:pt>
                <c:pt idx="54">
                  <c:v>365506.97432745976</c:v>
                </c:pt>
                <c:pt idx="55">
                  <c:v>390589.03171099204</c:v>
                </c:pt>
                <c:pt idx="56">
                  <c:v>418297.38149260532</c:v>
                </c:pt>
                <c:pt idx="57">
                  <c:v>448923.10993806238</c:v>
                </c:pt>
                <c:pt idx="58">
                  <c:v>482803.55850932305</c:v>
                </c:pt>
                <c:pt idx="59">
                  <c:v>520366.4924084181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FC-7B43-8EE4-ACF46CD586EF}"/>
            </c:ext>
          </c:extLst>
        </c:ser>
        <c:ser>
          <c:idx val="1"/>
          <c:order val="1"/>
          <c:tx>
            <c:v>Expenses</c:v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val>
            <c:numRef>
              <c:f>'Monthly Income Statement'!$C$37:$BJ$37</c:f>
              <c:numCache>
                <c:formatCode>_("$"* #,##0_);_("$"* \(#,##0\);_("$"* "-"??_);_(@_)</c:formatCode>
                <c:ptCount val="60"/>
                <c:pt idx="0">
                  <c:v>43196.921666666669</c:v>
                </c:pt>
                <c:pt idx="1">
                  <c:v>43462.182166666673</c:v>
                </c:pt>
                <c:pt idx="2">
                  <c:v>71588.581666666665</c:v>
                </c:pt>
                <c:pt idx="3">
                  <c:v>78426.842333333349</c:v>
                </c:pt>
                <c:pt idx="4">
                  <c:v>104815.48733333334</c:v>
                </c:pt>
                <c:pt idx="5">
                  <c:v>108217.48164040843</c:v>
                </c:pt>
                <c:pt idx="6">
                  <c:v>111544.96705295841</c:v>
                </c:pt>
                <c:pt idx="7">
                  <c:v>114765.01537872941</c:v>
                </c:pt>
                <c:pt idx="8">
                  <c:v>117928.94039651079</c:v>
                </c:pt>
                <c:pt idx="9">
                  <c:v>120957.51960701328</c:v>
                </c:pt>
                <c:pt idx="10">
                  <c:v>123908.88576125953</c:v>
                </c:pt>
                <c:pt idx="11">
                  <c:v>126769.00265892968</c:v>
                </c:pt>
                <c:pt idx="12">
                  <c:v>145942.52683101647</c:v>
                </c:pt>
                <c:pt idx="13">
                  <c:v>143666.41746810902</c:v>
                </c:pt>
                <c:pt idx="14">
                  <c:v>146339.8382224557</c:v>
                </c:pt>
                <c:pt idx="15">
                  <c:v>148921.43491622101</c:v>
                </c:pt>
                <c:pt idx="16">
                  <c:v>151454.22384512049</c:v>
                </c:pt>
                <c:pt idx="17">
                  <c:v>153916.76529174298</c:v>
                </c:pt>
                <c:pt idx="18">
                  <c:v>156354.72367643728</c:v>
                </c:pt>
                <c:pt idx="19">
                  <c:v>158792.87769201811</c:v>
                </c:pt>
                <c:pt idx="20">
                  <c:v>161197.1916787159</c:v>
                </c:pt>
                <c:pt idx="21">
                  <c:v>173684.6136192983</c:v>
                </c:pt>
                <c:pt idx="22">
                  <c:v>171022.098395045</c:v>
                </c:pt>
                <c:pt idx="23">
                  <c:v>173387.73946228332</c:v>
                </c:pt>
                <c:pt idx="24">
                  <c:v>175722.25349918206</c:v>
                </c:pt>
                <c:pt idx="25">
                  <c:v>178111.18178264337</c:v>
                </c:pt>
                <c:pt idx="26">
                  <c:v>180534.80918230733</c:v>
                </c:pt>
                <c:pt idx="27">
                  <c:v>182976.68679092667</c:v>
                </c:pt>
                <c:pt idx="28">
                  <c:v>185479.9576206989</c:v>
                </c:pt>
                <c:pt idx="29">
                  <c:v>188004.16205857304</c:v>
                </c:pt>
                <c:pt idx="30">
                  <c:v>190638.62649091682</c:v>
                </c:pt>
                <c:pt idx="31">
                  <c:v>193321.19845656556</c:v>
                </c:pt>
                <c:pt idx="32">
                  <c:v>196121.24126627322</c:v>
                </c:pt>
                <c:pt idx="33">
                  <c:v>199066.84519781472</c:v>
                </c:pt>
                <c:pt idx="34">
                  <c:v>202090.85427376258</c:v>
                </c:pt>
                <c:pt idx="35">
                  <c:v>205314.68653104221</c:v>
                </c:pt>
                <c:pt idx="36">
                  <c:v>208745.16449898167</c:v>
                </c:pt>
                <c:pt idx="37">
                  <c:v>212338.38687753794</c:v>
                </c:pt>
                <c:pt idx="38">
                  <c:v>216195.63279899262</c:v>
                </c:pt>
                <c:pt idx="39">
                  <c:v>220324.46818767505</c:v>
                </c:pt>
                <c:pt idx="40">
                  <c:v>224732.74298917939</c:v>
                </c:pt>
                <c:pt idx="41">
                  <c:v>229528.77157699713</c:v>
                </c:pt>
                <c:pt idx="42">
                  <c:v>234645.52933492925</c:v>
                </c:pt>
                <c:pt idx="43">
                  <c:v>240251.65746517543</c:v>
                </c:pt>
                <c:pt idx="44">
                  <c:v>246268.56063517678</c:v>
                </c:pt>
                <c:pt idx="45">
                  <c:v>252870.31677740894</c:v>
                </c:pt>
                <c:pt idx="46">
                  <c:v>260074.06633784639</c:v>
                </c:pt>
                <c:pt idx="47">
                  <c:v>267920.08943696239</c:v>
                </c:pt>
                <c:pt idx="48">
                  <c:v>276535.21855831426</c:v>
                </c:pt>
                <c:pt idx="49">
                  <c:v>285964.89596692537</c:v>
                </c:pt>
                <c:pt idx="50">
                  <c:v>296255.42842673376</c:v>
                </c:pt>
                <c:pt idx="51">
                  <c:v>307656.03575013793</c:v>
                </c:pt>
                <c:pt idx="52">
                  <c:v>320200.41929433233</c:v>
                </c:pt>
                <c:pt idx="53">
                  <c:v>334013.52439293789</c:v>
                </c:pt>
                <c:pt idx="54">
                  <c:v>359391.08711977844</c:v>
                </c:pt>
                <c:pt idx="55">
                  <c:v>371258.45288617804</c:v>
                </c:pt>
                <c:pt idx="56">
                  <c:v>389899.50823795953</c:v>
                </c:pt>
                <c:pt idx="57">
                  <c:v>410511.7089963819</c:v>
                </c:pt>
                <c:pt idx="58">
                  <c:v>433323.10277118458</c:v>
                </c:pt>
                <c:pt idx="59">
                  <c:v>458626.53232358576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FC-7B43-8EE4-ACF46CD58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57032240"/>
        <c:axId val="-1797149216"/>
      </c:lineChart>
      <c:catAx>
        <c:axId val="-1757032240"/>
        <c:scaling>
          <c:orientation val="minMax"/>
        </c:scaling>
        <c:delete val="0"/>
        <c:axPos val="b"/>
        <c:majorTickMark val="out"/>
        <c:minorTickMark val="none"/>
        <c:tickLblPos val="nextTo"/>
        <c:crossAx val="-1797149216"/>
        <c:crosses val="autoZero"/>
        <c:auto val="1"/>
        <c:lblAlgn val="ctr"/>
        <c:lblOffset val="100"/>
        <c:noMultiLvlLbl val="0"/>
      </c:catAx>
      <c:valAx>
        <c:axId val="-1797149216"/>
        <c:scaling>
          <c:orientation val="minMax"/>
          <c:max val="100000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-1757032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5.4464315813734301E-2"/>
          <c:y val="0.20442260442260399"/>
          <c:w val="0.85724137693797398"/>
          <c:h val="0.65136798932074502"/>
        </c:manualLayout>
      </c:layout>
      <c:areaChart>
        <c:grouping val="standard"/>
        <c:varyColors val="0"/>
        <c:ser>
          <c:idx val="0"/>
          <c:order val="0"/>
          <c:tx>
            <c:v>Cash in Bank</c:v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val>
            <c:numRef>
              <c:f>'Monthly Cash Flow'!$C$27:$BJ$27</c:f>
              <c:numCache>
                <c:formatCode>_("$"* #,##0_);_("$"* \(#,##0\);_("$"* "-"??_);_(@_)</c:formatCode>
                <c:ptCount val="60"/>
                <c:pt idx="0">
                  <c:v>967395.34207833337</c:v>
                </c:pt>
                <c:pt idx="1">
                  <c:v>928367.55163566675</c:v>
                </c:pt>
                <c:pt idx="2">
                  <c:v>883581.48974880006</c:v>
                </c:pt>
                <c:pt idx="3">
                  <c:v>802868.5053202667</c:v>
                </c:pt>
                <c:pt idx="4">
                  <c:v>699900.31405093335</c:v>
                </c:pt>
                <c:pt idx="5">
                  <c:v>622393.36014400749</c:v>
                </c:pt>
                <c:pt idx="6">
                  <c:v>541425.55697378376</c:v>
                </c:pt>
                <c:pt idx="7">
                  <c:v>462034.26038381865</c:v>
                </c:pt>
                <c:pt idx="8">
                  <c:v>384198.35709227732</c:v>
                </c:pt>
                <c:pt idx="9">
                  <c:v>307928.97242752777</c:v>
                </c:pt>
                <c:pt idx="10">
                  <c:v>233190.72670577531</c:v>
                </c:pt>
                <c:pt idx="11">
                  <c:v>159974.97070047163</c:v>
                </c:pt>
                <c:pt idx="12">
                  <c:v>2583807.0981985587</c:v>
                </c:pt>
                <c:pt idx="13">
                  <c:v>2492249.7670437112</c:v>
                </c:pt>
                <c:pt idx="14">
                  <c:v>2412176.4117360725</c:v>
                </c:pt>
                <c:pt idx="15">
                  <c:v>2333586.2653482528</c:v>
                </c:pt>
                <c:pt idx="16">
                  <c:v>2256465.5469648363</c:v>
                </c:pt>
                <c:pt idx="17">
                  <c:v>2180791.3101656656</c:v>
                </c:pt>
                <c:pt idx="18">
                  <c:v>2106550.488269656</c:v>
                </c:pt>
                <c:pt idx="19">
                  <c:v>2033745.2991409451</c:v>
                </c:pt>
                <c:pt idx="20">
                  <c:v>1962395.4825420645</c:v>
                </c:pt>
                <c:pt idx="21">
                  <c:v>1894467.46534928</c:v>
                </c:pt>
                <c:pt idx="22">
                  <c:v>1810871.319815336</c:v>
                </c:pt>
                <c:pt idx="23">
                  <c:v>1738482.6123882155</c:v>
                </c:pt>
                <c:pt idx="24">
                  <c:v>1667317.8158652242</c:v>
                </c:pt>
                <c:pt idx="25">
                  <c:v>1597350.0779765376</c:v>
                </c:pt>
                <c:pt idx="26">
                  <c:v>1528606.814119156</c:v>
                </c:pt>
                <c:pt idx="27">
                  <c:v>1461100.9727053118</c:v>
                </c:pt>
                <c:pt idx="28">
                  <c:v>1394838.4141086605</c:v>
                </c:pt>
                <c:pt idx="29">
                  <c:v>1329849.5783409863</c:v>
                </c:pt>
                <c:pt idx="30">
                  <c:v>1266138.4190172721</c:v>
                </c:pt>
                <c:pt idx="31">
                  <c:v>1203756.3613918212</c:v>
                </c:pt>
                <c:pt idx="32">
                  <c:v>1142721.3038206119</c:v>
                </c:pt>
                <c:pt idx="33">
                  <c:v>1083089.8787988403</c:v>
                </c:pt>
                <c:pt idx="34">
                  <c:v>1024931.8592100495</c:v>
                </c:pt>
                <c:pt idx="35">
                  <c:v>968277.31514181534</c:v>
                </c:pt>
                <c:pt idx="36">
                  <c:v>913220.88461153128</c:v>
                </c:pt>
                <c:pt idx="37">
                  <c:v>859863.99964229669</c:v>
                </c:pt>
                <c:pt idx="38">
                  <c:v>808275.63836528291</c:v>
                </c:pt>
                <c:pt idx="39">
                  <c:v>758583.41261309292</c:v>
                </c:pt>
                <c:pt idx="40">
                  <c:v>710918.48885494529</c:v>
                </c:pt>
                <c:pt idx="41">
                  <c:v>665405.04066002648</c:v>
                </c:pt>
                <c:pt idx="42">
                  <c:v>622236.58475810545</c:v>
                </c:pt>
                <c:pt idx="43">
                  <c:v>581553.86271768168</c:v>
                </c:pt>
                <c:pt idx="44">
                  <c:v>543594.49070819351</c:v>
                </c:pt>
                <c:pt idx="45">
                  <c:v>508545.46833083156</c:v>
                </c:pt>
                <c:pt idx="46">
                  <c:v>476688.4270393597</c:v>
                </c:pt>
                <c:pt idx="47">
                  <c:v>448309.56127631018</c:v>
                </c:pt>
                <c:pt idx="48">
                  <c:v>423707.42147432908</c:v>
                </c:pt>
                <c:pt idx="49">
                  <c:v>403247.96675991954</c:v>
                </c:pt>
                <c:pt idx="50">
                  <c:v>387319.7681592374</c:v>
                </c:pt>
                <c:pt idx="51">
                  <c:v>376314.72303126805</c:v>
                </c:pt>
                <c:pt idx="52">
                  <c:v>370764.4302364543</c:v>
                </c:pt>
                <c:pt idx="53">
                  <c:v>371202.47692563717</c:v>
                </c:pt>
                <c:pt idx="54">
                  <c:v>380013.17060211679</c:v>
                </c:pt>
                <c:pt idx="55">
                  <c:v>379184.88053854852</c:v>
                </c:pt>
                <c:pt idx="56">
                  <c:v>396375.25237893406</c:v>
                </c:pt>
                <c:pt idx="57">
                  <c:v>422416.03005790937</c:v>
                </c:pt>
                <c:pt idx="58">
                  <c:v>458228.48834594706</c:v>
                </c:pt>
                <c:pt idx="59">
                  <c:v>504840.17321216542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9441-88B2-269AF5ED0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57144240"/>
        <c:axId val="-1757120576"/>
      </c:areaChart>
      <c:catAx>
        <c:axId val="-1757144240"/>
        <c:scaling>
          <c:orientation val="minMax"/>
        </c:scaling>
        <c:delete val="0"/>
        <c:axPos val="b"/>
        <c:majorTickMark val="out"/>
        <c:minorTickMark val="none"/>
        <c:tickLblPos val="nextTo"/>
        <c:crossAx val="-1757120576"/>
        <c:crosses val="autoZero"/>
        <c:auto val="1"/>
        <c:lblAlgn val="ctr"/>
        <c:lblOffset val="100"/>
        <c:noMultiLvlLbl val="0"/>
      </c:catAx>
      <c:valAx>
        <c:axId val="-1757120576"/>
        <c:scaling>
          <c:orientation val="minMax"/>
          <c:max val="500000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-1757144240"/>
        <c:crosses val="autoZero"/>
        <c:crossBetween val="midCat"/>
        <c:majorUnit val="1000000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areaChart>
        <c:grouping val="standard"/>
        <c:varyColors val="0"/>
        <c:ser>
          <c:idx val="2"/>
          <c:order val="0"/>
          <c:tx>
            <c:v>Founder's Equity Value</c:v>
          </c:tx>
          <c:val>
            <c:numRef>
              <c:f>'Monthly Balance Sheet'!$C$26:$BJ$26</c:f>
              <c:numCache>
                <c:formatCode>_("$"* #,##0_);_("$"* \(#,##0\);_("$"* "-"??_);_(@_)</c:formatCode>
                <c:ptCount val="60"/>
                <c:pt idx="0">
                  <c:v>774279.45840591681</c:v>
                </c:pt>
                <c:pt idx="1">
                  <c:v>0</c:v>
                </c:pt>
                <c:pt idx="2">
                  <c:v>749839.78974891989</c:v>
                </c:pt>
                <c:pt idx="3">
                  <c:v>719977.6867453733</c:v>
                </c:pt>
                <c:pt idx="4">
                  <c:v>1357855.9006291069</c:v>
                </c:pt>
                <c:pt idx="5">
                  <c:v>1512766.4486906661</c:v>
                </c:pt>
                <c:pt idx="6">
                  <c:v>1657515.697625021</c:v>
                </c:pt>
                <c:pt idx="7">
                  <c:v>1798265.7909206122</c:v>
                </c:pt>
                <c:pt idx="8">
                  <c:v>1937930.2213448668</c:v>
                </c:pt>
                <c:pt idx="9">
                  <c:v>2071889.0801299324</c:v>
                </c:pt>
                <c:pt idx="10">
                  <c:v>2203402.0224087154</c:v>
                </c:pt>
                <c:pt idx="11">
                  <c:v>2331719.1096059605</c:v>
                </c:pt>
                <c:pt idx="12">
                  <c:v>2510428.6478266674</c:v>
                </c:pt>
                <c:pt idx="13">
                  <c:v>2577969.5509133846</c:v>
                </c:pt>
                <c:pt idx="14">
                  <c:v>2648774.4563138341</c:v>
                </c:pt>
                <c:pt idx="15">
                  <c:v>2717398.7334893136</c:v>
                </c:pt>
                <c:pt idx="16">
                  <c:v>2785031.6635935237</c:v>
                </c:pt>
                <c:pt idx="17">
                  <c:v>2851215.336299445</c:v>
                </c:pt>
                <c:pt idx="18">
                  <c:v>2917487.3597350339</c:v>
                </c:pt>
                <c:pt idx="19">
                  <c:v>2984754.2986177802</c:v>
                </c:pt>
                <c:pt idx="20">
                  <c:v>3051808.2593988823</c:v>
                </c:pt>
                <c:pt idx="21">
                  <c:v>3113470.987180931</c:v>
                </c:pt>
                <c:pt idx="22">
                  <c:v>3167596.9017936299</c:v>
                </c:pt>
                <c:pt idx="23">
                  <c:v>3227159.8243464623</c:v>
                </c:pt>
                <c:pt idx="24">
                  <c:v>3286020.2949173972</c:v>
                </c:pt>
                <c:pt idx="25">
                  <c:v>3347303.5878360984</c:v>
                </c:pt>
                <c:pt idx="26">
                  <c:v>3410269.6726193768</c:v>
                </c:pt>
                <c:pt idx="27">
                  <c:v>3474404.3313932782</c:v>
                </c:pt>
                <c:pt idx="28">
                  <c:v>3541234.8590811645</c:v>
                </c:pt>
                <c:pt idx="29">
                  <c:v>3609349.5240889196</c:v>
                </c:pt>
                <c:pt idx="30">
                  <c:v>3681904.5275029955</c:v>
                </c:pt>
                <c:pt idx="31">
                  <c:v>3756790.1939704637</c:v>
                </c:pt>
                <c:pt idx="32">
                  <c:v>3836523.130908147</c:v>
                </c:pt>
                <c:pt idx="33">
                  <c:v>3922063.6024946021</c:v>
                </c:pt>
                <c:pt idx="34">
                  <c:v>4011134.0173842111</c:v>
                </c:pt>
                <c:pt idx="35">
                  <c:v>4108093.5342796785</c:v>
                </c:pt>
                <c:pt idx="36">
                  <c:v>4213227.1830326477</c:v>
                </c:pt>
                <c:pt idx="37">
                  <c:v>4325033.9962073611</c:v>
                </c:pt>
                <c:pt idx="38">
                  <c:v>4447238.3371098554</c:v>
                </c:pt>
                <c:pt idx="39">
                  <c:v>4580166.8554807156</c:v>
                </c:pt>
                <c:pt idx="40">
                  <c:v>4724158.3422040762</c:v>
                </c:pt>
                <c:pt idx="41">
                  <c:v>4883209.9804256242</c:v>
                </c:pt>
                <c:pt idx="42">
                  <c:v>5054988.2514627026</c:v>
                </c:pt>
                <c:pt idx="43">
                  <c:v>5245627.089776461</c:v>
                </c:pt>
                <c:pt idx="44">
                  <c:v>5452521.2204160038</c:v>
                </c:pt>
                <c:pt idx="45">
                  <c:v>5682017.6493679332</c:v>
                </c:pt>
                <c:pt idx="46">
                  <c:v>5934850.4925921811</c:v>
                </c:pt>
                <c:pt idx="47">
                  <c:v>6212631.6401081663</c:v>
                </c:pt>
                <c:pt idx="48">
                  <c:v>6520091.1532742446</c:v>
                </c:pt>
                <c:pt idx="49">
                  <c:v>6859058.9299867777</c:v>
                </c:pt>
                <c:pt idx="50">
                  <c:v>7231406.5513940016</c:v>
                </c:pt>
                <c:pt idx="51">
                  <c:v>7646341.6740674702</c:v>
                </c:pt>
                <c:pt idx="52">
                  <c:v>8105295.6072598351</c:v>
                </c:pt>
                <c:pt idx="53">
                  <c:v>8613154.4653904922</c:v>
                </c:pt>
                <c:pt idx="54">
                  <c:v>9177224.4817710705</c:v>
                </c:pt>
                <c:pt idx="55">
                  <c:v>9796230.916429963</c:v>
                </c:pt>
                <c:pt idx="56">
                  <c:v>10487292.229947736</c:v>
                </c:pt>
                <c:pt idx="57">
                  <c:v>11253929.875085052</c:v>
                </c:pt>
                <c:pt idx="58">
                  <c:v>12104842.039123232</c:v>
                </c:pt>
                <c:pt idx="59">
                  <c:v>13051002.189251002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F-424D-89B9-48388CBD5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55826848"/>
        <c:axId val="-1755824800"/>
      </c:areaChart>
      <c:catAx>
        <c:axId val="-1755826848"/>
        <c:scaling>
          <c:orientation val="minMax"/>
        </c:scaling>
        <c:delete val="0"/>
        <c:axPos val="b"/>
        <c:majorTickMark val="out"/>
        <c:minorTickMark val="none"/>
        <c:tickLblPos val="nextTo"/>
        <c:crossAx val="-1755824800"/>
        <c:crosses val="autoZero"/>
        <c:auto val="1"/>
        <c:lblAlgn val="ctr"/>
        <c:lblOffset val="100"/>
        <c:noMultiLvlLbl val="0"/>
      </c:catAx>
      <c:valAx>
        <c:axId val="-1755824800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-17558268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1430869</xdr:colOff>
      <xdr:row>0</xdr:row>
      <xdr:rowOff>0</xdr:rowOff>
    </xdr:from>
    <xdr:to>
      <xdr:col>1</xdr:col>
      <xdr:colOff>1955801</xdr:colOff>
      <xdr:row>1</xdr:row>
      <xdr:rowOff>25399</xdr:rowOff>
    </xdr:to>
    <xdr:pic>
      <xdr:nvPicPr>
        <xdr:cNvPr id="2" name="Picture 1" descr="dollar_cave_club_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869" y="0"/>
          <a:ext cx="524932" cy="5249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486833</xdr:colOff>
      <xdr:row>13</xdr:row>
      <xdr:rowOff>122767</xdr:rowOff>
    </xdr:from>
    <xdr:to>
      <xdr:col>63</xdr:col>
      <xdr:colOff>105833</xdr:colOff>
      <xdr:row>28</xdr:row>
      <xdr:rowOff>8467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3</xdr:row>
      <xdr:rowOff>95250</xdr:rowOff>
    </xdr:from>
    <xdr:to>
      <xdr:col>20</xdr:col>
      <xdr:colOff>76200</xdr:colOff>
      <xdr:row>41</xdr:row>
      <xdr:rowOff>114300</xdr:rowOff>
    </xdr:to>
    <xdr:graphicFrame macro="">
      <xdr:nvGraphicFramePr>
        <xdr:cNvPr id="5" name="Chart 4" title="Revenue and Expenses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241300</xdr:colOff>
      <xdr:row>43</xdr:row>
      <xdr:rowOff>95250</xdr:rowOff>
    </xdr:from>
    <xdr:to>
      <xdr:col>20</xdr:col>
      <xdr:colOff>381000</xdr:colOff>
      <xdr:row>57</xdr:row>
      <xdr:rowOff>139700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31750</xdr:colOff>
      <xdr:row>60</xdr:row>
      <xdr:rowOff>184150</xdr:rowOff>
    </xdr:from>
    <xdr:to>
      <xdr:col>21</xdr:col>
      <xdr:colOff>203200</xdr:colOff>
      <xdr:row>74</xdr:row>
      <xdr:rowOff>177800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59"/>
  <sheetViews>
    <sheetView tabSelected="1" topLeftCell="A7" zoomScale="220" zoomScaleNormal="220" zoomScalePageLayoutView="150" workbookViewId="0">
      <pane xSplit="3" topLeftCell="D1" activePane="topRight" state="frozen"/>
      <selection pane="topRight" activeCell="B6" sqref="B6"/>
    </sheetView>
    <sheetView zoomScale="220" zoomScaleNormal="220" zoomScalePageLayoutView="150" workbookViewId="1">
      <selection activeCell="C56" sqref="C56"/>
    </sheetView>
  </sheetViews>
  <sheetFormatPr baseColWidth="10" defaultRowHeight="16" x14ac:dyDescent="0.2"/>
  <cols>
    <col min="1" max="1" width="2.83203125" customWidth="1"/>
    <col min="2" max="2" width="35.5" customWidth="1"/>
    <col min="3" max="3" width="14.1640625" style="33" bestFit="1" customWidth="1"/>
  </cols>
  <sheetData>
    <row r="1" spans="2:3" ht="39" customHeight="1" x14ac:dyDescent="0.25">
      <c r="B1" s="24" t="s">
        <v>65</v>
      </c>
    </row>
    <row r="2" spans="2:3" x14ac:dyDescent="0.2">
      <c r="B2" t="s">
        <v>1</v>
      </c>
    </row>
    <row r="4" spans="2:3" x14ac:dyDescent="0.2">
      <c r="B4" t="s">
        <v>165</v>
      </c>
      <c r="C4" s="6">
        <v>29.99</v>
      </c>
    </row>
    <row r="5" spans="2:3" x14ac:dyDescent="0.2">
      <c r="B5" t="s">
        <v>174</v>
      </c>
      <c r="C5" s="61">
        <v>0.04</v>
      </c>
    </row>
    <row r="7" spans="2:3" x14ac:dyDescent="0.2">
      <c r="B7" t="s">
        <v>33</v>
      </c>
      <c r="C7" s="3">
        <v>3.5</v>
      </c>
    </row>
    <row r="8" spans="2:3" x14ac:dyDescent="0.2">
      <c r="B8" t="s">
        <v>144</v>
      </c>
      <c r="C8" s="5">
        <v>0.1</v>
      </c>
    </row>
    <row r="9" spans="2:3" x14ac:dyDescent="0.2">
      <c r="B9" t="s">
        <v>166</v>
      </c>
      <c r="C9" s="6">
        <v>1.5</v>
      </c>
    </row>
    <row r="10" spans="2:3" x14ac:dyDescent="0.2">
      <c r="C10" s="35"/>
    </row>
    <row r="11" spans="2:3" x14ac:dyDescent="0.2">
      <c r="B11" t="s">
        <v>168</v>
      </c>
      <c r="C11" s="4">
        <v>10000</v>
      </c>
    </row>
    <row r="12" spans="2:3" x14ac:dyDescent="0.2">
      <c r="B12" t="s">
        <v>167</v>
      </c>
      <c r="C12" s="4">
        <f>SteadyStateMonthlySEMSpend</f>
        <v>10000</v>
      </c>
    </row>
    <row r="13" spans="2:3" x14ac:dyDescent="0.2">
      <c r="B13" s="55" t="s">
        <v>96</v>
      </c>
      <c r="C13" s="35"/>
    </row>
    <row r="15" spans="2:3" x14ac:dyDescent="0.2">
      <c r="B15" t="s">
        <v>29</v>
      </c>
      <c r="C15" s="11">
        <v>0.02</v>
      </c>
    </row>
    <row r="16" spans="2:3" x14ac:dyDescent="0.2">
      <c r="B16" t="s">
        <v>30</v>
      </c>
      <c r="C16" s="11">
        <v>0.01</v>
      </c>
    </row>
    <row r="17" spans="2:3" x14ac:dyDescent="0.2">
      <c r="C17" s="34"/>
    </row>
    <row r="18" spans="2:3" x14ac:dyDescent="0.2">
      <c r="B18" t="s">
        <v>32</v>
      </c>
      <c r="C18" s="11">
        <v>4.4999999999999998E-2</v>
      </c>
    </row>
    <row r="19" spans="2:3" x14ac:dyDescent="0.2">
      <c r="B19" t="s">
        <v>31</v>
      </c>
      <c r="C19" s="11">
        <v>2.5000000000000001E-2</v>
      </c>
    </row>
    <row r="20" spans="2:3" x14ac:dyDescent="0.2">
      <c r="C20" s="34"/>
    </row>
    <row r="21" spans="2:3" x14ac:dyDescent="0.2">
      <c r="C21" s="34"/>
    </row>
    <row r="22" spans="2:3" x14ac:dyDescent="0.2">
      <c r="B22" t="s">
        <v>66</v>
      </c>
      <c r="C22" s="11">
        <v>2E-3</v>
      </c>
    </row>
    <row r="23" spans="2:3" x14ac:dyDescent="0.2">
      <c r="B23" t="s">
        <v>67</v>
      </c>
      <c r="C23" s="11">
        <v>5.0000000000000001E-3</v>
      </c>
    </row>
    <row r="25" spans="2:3" x14ac:dyDescent="0.2">
      <c r="B25" t="s">
        <v>36</v>
      </c>
      <c r="C25" s="5">
        <v>0.1</v>
      </c>
    </row>
    <row r="26" spans="2:3" x14ac:dyDescent="0.2">
      <c r="B26" t="s">
        <v>39</v>
      </c>
      <c r="C26" s="5">
        <v>0.33</v>
      </c>
    </row>
    <row r="27" spans="2:3" x14ac:dyDescent="0.2">
      <c r="C27" s="35"/>
    </row>
    <row r="28" spans="2:3" x14ac:dyDescent="0.2">
      <c r="B28" t="s">
        <v>35</v>
      </c>
      <c r="C28" s="6">
        <v>2.25</v>
      </c>
    </row>
    <row r="29" spans="2:3" x14ac:dyDescent="0.2">
      <c r="B29" t="s">
        <v>5</v>
      </c>
      <c r="C29" s="6">
        <v>1.85</v>
      </c>
    </row>
    <row r="30" spans="2:3" x14ac:dyDescent="0.2">
      <c r="B30" t="s">
        <v>7</v>
      </c>
      <c r="C30" s="3">
        <v>5</v>
      </c>
    </row>
    <row r="31" spans="2:3" x14ac:dyDescent="0.2">
      <c r="B31" t="s">
        <v>8</v>
      </c>
      <c r="C31" s="3">
        <v>25</v>
      </c>
    </row>
    <row r="33" spans="2:3" x14ac:dyDescent="0.2">
      <c r="B33" t="s">
        <v>41</v>
      </c>
      <c r="C33" s="11">
        <v>0.25</v>
      </c>
    </row>
    <row r="34" spans="2:3" x14ac:dyDescent="0.2">
      <c r="B34" t="s">
        <v>42</v>
      </c>
      <c r="C34" s="11">
        <v>0.3</v>
      </c>
    </row>
    <row r="35" spans="2:3" x14ac:dyDescent="0.2">
      <c r="C35" s="34"/>
    </row>
    <row r="36" spans="2:3" x14ac:dyDescent="0.2">
      <c r="B36" t="s">
        <v>57</v>
      </c>
      <c r="C36" s="4">
        <v>500</v>
      </c>
    </row>
    <row r="37" spans="2:3" x14ac:dyDescent="0.2">
      <c r="B37" t="s">
        <v>169</v>
      </c>
      <c r="C37" s="4">
        <v>250</v>
      </c>
    </row>
    <row r="39" spans="2:3" x14ac:dyDescent="0.2">
      <c r="B39" t="s">
        <v>80</v>
      </c>
      <c r="C39" s="40">
        <v>5000</v>
      </c>
    </row>
    <row r="41" spans="2:3" x14ac:dyDescent="0.2">
      <c r="B41" t="s">
        <v>82</v>
      </c>
      <c r="C41" s="5">
        <v>0.25</v>
      </c>
    </row>
    <row r="42" spans="2:3" x14ac:dyDescent="0.2">
      <c r="B42" t="s">
        <v>88</v>
      </c>
      <c r="C42" s="4">
        <f>500</f>
        <v>500</v>
      </c>
    </row>
    <row r="43" spans="2:3" x14ac:dyDescent="0.2">
      <c r="B43" t="s">
        <v>87</v>
      </c>
      <c r="C43" s="4">
        <v>100</v>
      </c>
    </row>
    <row r="44" spans="2:3" x14ac:dyDescent="0.2">
      <c r="B44" t="s">
        <v>86</v>
      </c>
      <c r="C44" s="4">
        <v>500</v>
      </c>
    </row>
    <row r="45" spans="2:3" x14ac:dyDescent="0.2">
      <c r="C45" s="36"/>
    </row>
    <row r="46" spans="2:3" x14ac:dyDescent="0.2">
      <c r="B46" t="s">
        <v>89</v>
      </c>
      <c r="C46" s="4">
        <v>250</v>
      </c>
    </row>
    <row r="47" spans="2:3" x14ac:dyDescent="0.2">
      <c r="B47" t="s">
        <v>90</v>
      </c>
      <c r="C47" s="4">
        <v>100</v>
      </c>
    </row>
    <row r="48" spans="2:3" x14ac:dyDescent="0.2">
      <c r="B48" t="s">
        <v>91</v>
      </c>
      <c r="C48" s="4">
        <v>5000</v>
      </c>
    </row>
    <row r="49" spans="2:3" x14ac:dyDescent="0.2">
      <c r="C49" s="36"/>
    </row>
    <row r="50" spans="2:3" x14ac:dyDescent="0.2">
      <c r="B50" t="s">
        <v>151</v>
      </c>
      <c r="C50" s="4">
        <v>1000000</v>
      </c>
    </row>
    <row r="51" spans="2:3" x14ac:dyDescent="0.2">
      <c r="B51" t="s">
        <v>152</v>
      </c>
      <c r="C51" s="4">
        <v>3000000</v>
      </c>
    </row>
    <row r="52" spans="2:3" x14ac:dyDescent="0.2">
      <c r="B52" t="s">
        <v>153</v>
      </c>
      <c r="C52" s="5">
        <v>0.1</v>
      </c>
    </row>
    <row r="53" spans="2:3" x14ac:dyDescent="0.2">
      <c r="B53" t="s">
        <v>139</v>
      </c>
      <c r="C53" s="4">
        <v>2500000</v>
      </c>
    </row>
    <row r="55" spans="2:3" x14ac:dyDescent="0.2">
      <c r="B55" t="s">
        <v>115</v>
      </c>
      <c r="C55" s="40">
        <v>30</v>
      </c>
    </row>
    <row r="56" spans="2:3" x14ac:dyDescent="0.2">
      <c r="B56" t="s">
        <v>116</v>
      </c>
      <c r="C56" s="40">
        <v>60</v>
      </c>
    </row>
    <row r="57" spans="2:3" x14ac:dyDescent="0.2">
      <c r="B57" t="s">
        <v>117</v>
      </c>
      <c r="C57" s="40">
        <v>30</v>
      </c>
    </row>
    <row r="59" spans="2:3" x14ac:dyDescent="0.2">
      <c r="B59" t="s">
        <v>170</v>
      </c>
      <c r="C59" s="62">
        <v>5</v>
      </c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R25"/>
  <sheetViews>
    <sheetView workbookViewId="0">
      <pane xSplit="2" ySplit="2" topLeftCell="AY3" activePane="bottomRight" state="frozen"/>
      <selection pane="topRight" activeCell="C1" sqref="C1"/>
      <selection pane="bottomLeft" activeCell="A3" sqref="A3"/>
      <selection pane="bottomRight" activeCell="BL11" sqref="BL11"/>
    </sheetView>
    <sheetView zoomScale="220" zoomScaleNormal="220" zoomScalePageLayoutView="150" workbookViewId="1">
      <pane xSplit="2" ySplit="2" topLeftCell="C3" activePane="bottomRight" state="frozen"/>
      <selection activeCell="C56" sqref="C56"/>
      <selection pane="topRight" activeCell="C56" sqref="C56"/>
      <selection pane="bottomLeft" activeCell="C56" sqref="C56"/>
      <selection pane="bottomRight" activeCell="L7" sqref="L7"/>
    </sheetView>
  </sheetViews>
  <sheetFormatPr baseColWidth="10" defaultRowHeight="16" x14ac:dyDescent="0.2"/>
  <cols>
    <col min="1" max="1" width="4.33203125" customWidth="1"/>
    <col min="2" max="2" width="24" bestFit="1" customWidth="1"/>
    <col min="3" max="4" width="9.1640625" bestFit="1" customWidth="1"/>
    <col min="5" max="6" width="10.6640625" bestFit="1" customWidth="1"/>
    <col min="7" max="7" width="11.6640625" bestFit="1" customWidth="1"/>
    <col min="8" max="62" width="12.6640625" bestFit="1" customWidth="1"/>
  </cols>
  <sheetData>
    <row r="1" spans="1:62" s="1" customFormat="1" x14ac:dyDescent="0.2">
      <c r="A1" s="1" t="s">
        <v>15</v>
      </c>
      <c r="C1" s="1" t="s">
        <v>0</v>
      </c>
    </row>
    <row r="2" spans="1:62" s="2" customFormat="1" x14ac:dyDescent="0.2">
      <c r="C2" s="74">
        <f>'Monthly Income Statement'!C2</f>
        <v>43480</v>
      </c>
      <c r="D2" s="74">
        <f>'Monthly Income Statement'!D2</f>
        <v>43510</v>
      </c>
      <c r="E2" s="74">
        <f>'Monthly Income Statement'!E2</f>
        <v>43540</v>
      </c>
      <c r="F2" s="74">
        <f>'Monthly Income Statement'!F2</f>
        <v>43570</v>
      </c>
      <c r="G2" s="74">
        <f>'Monthly Income Statement'!G2</f>
        <v>43600</v>
      </c>
      <c r="H2" s="74">
        <f>'Monthly Income Statement'!H2</f>
        <v>43630</v>
      </c>
      <c r="I2" s="74">
        <f>'Monthly Income Statement'!I2</f>
        <v>43660</v>
      </c>
      <c r="J2" s="74">
        <f>'Monthly Income Statement'!J2</f>
        <v>43690</v>
      </c>
      <c r="K2" s="74">
        <f>'Monthly Income Statement'!K2</f>
        <v>43720</v>
      </c>
      <c r="L2" s="74">
        <f>'Monthly Income Statement'!L2</f>
        <v>43750</v>
      </c>
      <c r="M2" s="74">
        <f>'Monthly Income Statement'!M2</f>
        <v>43780</v>
      </c>
      <c r="N2" s="74">
        <f>'Monthly Income Statement'!N2</f>
        <v>43810</v>
      </c>
      <c r="O2" s="74">
        <f>'Monthly Income Statement'!O2</f>
        <v>43840</v>
      </c>
      <c r="P2" s="74">
        <f>'Monthly Income Statement'!P2</f>
        <v>43870</v>
      </c>
      <c r="Q2" s="74">
        <f>'Monthly Income Statement'!Q2</f>
        <v>43900</v>
      </c>
      <c r="R2" s="74">
        <f>'Monthly Income Statement'!R2</f>
        <v>43930</v>
      </c>
      <c r="S2" s="74">
        <f>'Monthly Income Statement'!S2</f>
        <v>43960</v>
      </c>
      <c r="T2" s="74">
        <f>'Monthly Income Statement'!T2</f>
        <v>43990</v>
      </c>
      <c r="U2" s="74">
        <f>'Monthly Income Statement'!U2</f>
        <v>44020</v>
      </c>
      <c r="V2" s="74">
        <f>'Monthly Income Statement'!V2</f>
        <v>44050</v>
      </c>
      <c r="W2" s="74">
        <f>'Monthly Income Statement'!W2</f>
        <v>44080</v>
      </c>
      <c r="X2" s="74">
        <f>'Monthly Income Statement'!X2</f>
        <v>44110</v>
      </c>
      <c r="Y2" s="74">
        <f>'Monthly Income Statement'!Y2</f>
        <v>44140</v>
      </c>
      <c r="Z2" s="74">
        <f>'Monthly Income Statement'!Z2</f>
        <v>44170</v>
      </c>
      <c r="AA2" s="74">
        <f>'Monthly Income Statement'!AA2</f>
        <v>43845</v>
      </c>
      <c r="AB2" s="74">
        <f>'Monthly Income Statement'!AB2</f>
        <v>43875</v>
      </c>
      <c r="AC2" s="74">
        <f>'Monthly Income Statement'!AC2</f>
        <v>43905</v>
      </c>
      <c r="AD2" s="74">
        <f>'Monthly Income Statement'!AD2</f>
        <v>43935</v>
      </c>
      <c r="AE2" s="74">
        <f>'Monthly Income Statement'!AE2</f>
        <v>43965</v>
      </c>
      <c r="AF2" s="74">
        <f>'Monthly Income Statement'!AF2</f>
        <v>43995</v>
      </c>
      <c r="AG2" s="74">
        <f>'Monthly Income Statement'!AG2</f>
        <v>44025</v>
      </c>
      <c r="AH2" s="74">
        <f>'Monthly Income Statement'!AH2</f>
        <v>44055</v>
      </c>
      <c r="AI2" s="74">
        <f>'Monthly Income Statement'!AI2</f>
        <v>44085</v>
      </c>
      <c r="AJ2" s="74">
        <f>'Monthly Income Statement'!AJ2</f>
        <v>44115</v>
      </c>
      <c r="AK2" s="74">
        <f>'Monthly Income Statement'!AK2</f>
        <v>44145</v>
      </c>
      <c r="AL2" s="74">
        <f>'Monthly Income Statement'!AL2</f>
        <v>44175</v>
      </c>
      <c r="AM2" s="74">
        <f>'Monthly Income Statement'!AM2</f>
        <v>44205</v>
      </c>
      <c r="AN2" s="74">
        <f>'Monthly Income Statement'!AN2</f>
        <v>44235</v>
      </c>
      <c r="AO2" s="74">
        <f>'Monthly Income Statement'!AO2</f>
        <v>44265</v>
      </c>
      <c r="AP2" s="74">
        <f>'Monthly Income Statement'!AP2</f>
        <v>44295</v>
      </c>
      <c r="AQ2" s="74">
        <f>'Monthly Income Statement'!AQ2</f>
        <v>44325</v>
      </c>
      <c r="AR2" s="74">
        <f>'Monthly Income Statement'!AR2</f>
        <v>44355</v>
      </c>
      <c r="AS2" s="74">
        <f>'Monthly Income Statement'!AS2</f>
        <v>44385</v>
      </c>
      <c r="AT2" s="74">
        <f>'Monthly Income Statement'!AT2</f>
        <v>44415</v>
      </c>
      <c r="AU2" s="74">
        <f>'Monthly Income Statement'!AU2</f>
        <v>44445</v>
      </c>
      <c r="AV2" s="74">
        <f>'Monthly Income Statement'!AV2</f>
        <v>44475</v>
      </c>
      <c r="AW2" s="74">
        <f>'Monthly Income Statement'!AW2</f>
        <v>44505</v>
      </c>
      <c r="AX2" s="74">
        <f>'Monthly Income Statement'!AX2</f>
        <v>44535</v>
      </c>
      <c r="AY2" s="74">
        <f>'Monthly Income Statement'!AY2</f>
        <v>44576</v>
      </c>
      <c r="AZ2" s="74">
        <f>'Monthly Income Statement'!AZ2</f>
        <v>44606</v>
      </c>
      <c r="BA2" s="74">
        <f>'Monthly Income Statement'!BA2</f>
        <v>44636</v>
      </c>
      <c r="BB2" s="74">
        <f>'Monthly Income Statement'!BB2</f>
        <v>44666</v>
      </c>
      <c r="BC2" s="74">
        <f>'Monthly Income Statement'!BC2</f>
        <v>44696</v>
      </c>
      <c r="BD2" s="74">
        <f>'Monthly Income Statement'!BD2</f>
        <v>44726</v>
      </c>
      <c r="BE2" s="74">
        <f>'Monthly Income Statement'!BE2</f>
        <v>44756</v>
      </c>
      <c r="BF2" s="74">
        <f>'Monthly Income Statement'!BF2</f>
        <v>44786</v>
      </c>
      <c r="BG2" s="74">
        <f>'Monthly Income Statement'!BG2</f>
        <v>44816</v>
      </c>
      <c r="BH2" s="74">
        <f>'Monthly Income Statement'!BH2</f>
        <v>44846</v>
      </c>
      <c r="BI2" s="74">
        <f>'Monthly Income Statement'!BI2</f>
        <v>44876</v>
      </c>
      <c r="BJ2" s="74">
        <f>'Monthly Income Statement'!BJ2</f>
        <v>44906</v>
      </c>
    </row>
    <row r="3" spans="1:62" s="1" customFormat="1" x14ac:dyDescent="0.2">
      <c r="B3" s="1" t="s">
        <v>11</v>
      </c>
      <c r="C3" s="78">
        <v>97</v>
      </c>
      <c r="D3" s="78">
        <f>C7</f>
        <v>102</v>
      </c>
      <c r="E3" s="78">
        <f t="shared" ref="E3:BJ3" si="0">D7</f>
        <v>106</v>
      </c>
      <c r="F3" s="78">
        <f t="shared" si="0"/>
        <v>114</v>
      </c>
      <c r="G3" s="78">
        <f t="shared" si="0"/>
        <v>121</v>
      </c>
      <c r="H3" s="1">
        <f t="shared" si="0"/>
        <v>271</v>
      </c>
      <c r="I3" s="1">
        <f t="shared" si="0"/>
        <v>414</v>
      </c>
      <c r="J3" s="1">
        <f t="shared" si="0"/>
        <v>552</v>
      </c>
      <c r="K3" s="1">
        <f t="shared" si="0"/>
        <v>685</v>
      </c>
      <c r="L3" s="1">
        <f t="shared" si="0"/>
        <v>814</v>
      </c>
      <c r="M3" s="1">
        <f t="shared" si="0"/>
        <v>938</v>
      </c>
      <c r="N3" s="1">
        <f t="shared" si="0"/>
        <v>1057</v>
      </c>
      <c r="O3" s="1">
        <f t="shared" si="0"/>
        <v>1173</v>
      </c>
      <c r="P3" s="1">
        <f t="shared" si="0"/>
        <v>1285</v>
      </c>
      <c r="Q3" s="1">
        <f t="shared" si="0"/>
        <v>1393</v>
      </c>
      <c r="R3" s="1">
        <f t="shared" si="0"/>
        <v>1497</v>
      </c>
      <c r="S3" s="1">
        <f t="shared" si="0"/>
        <v>1598</v>
      </c>
      <c r="T3" s="1">
        <f t="shared" si="0"/>
        <v>1695</v>
      </c>
      <c r="U3" s="1">
        <f t="shared" si="0"/>
        <v>1790</v>
      </c>
      <c r="V3" s="1">
        <f t="shared" si="0"/>
        <v>1882</v>
      </c>
      <c r="W3" s="1">
        <f t="shared" si="0"/>
        <v>1972</v>
      </c>
      <c r="X3" s="1">
        <f t="shared" si="0"/>
        <v>2060</v>
      </c>
      <c r="Y3" s="1">
        <f t="shared" si="0"/>
        <v>2146</v>
      </c>
      <c r="Z3" s="1">
        <f t="shared" si="0"/>
        <v>2230</v>
      </c>
      <c r="AA3" s="1">
        <f t="shared" si="0"/>
        <v>2313</v>
      </c>
      <c r="AB3" s="1">
        <f t="shared" si="0"/>
        <v>2394</v>
      </c>
      <c r="AC3" s="1">
        <f t="shared" si="0"/>
        <v>2475</v>
      </c>
      <c r="AD3" s="1">
        <f t="shared" si="0"/>
        <v>2555</v>
      </c>
      <c r="AE3" s="1">
        <f t="shared" si="0"/>
        <v>2635</v>
      </c>
      <c r="AF3" s="1">
        <f t="shared" si="0"/>
        <v>2715</v>
      </c>
      <c r="AG3" s="1">
        <f t="shared" si="0"/>
        <v>2795</v>
      </c>
      <c r="AH3" s="1">
        <f t="shared" si="0"/>
        <v>2875</v>
      </c>
      <c r="AI3" s="1">
        <f t="shared" si="0"/>
        <v>2956</v>
      </c>
      <c r="AJ3" s="1">
        <f t="shared" si="0"/>
        <v>3039</v>
      </c>
      <c r="AK3" s="1">
        <f t="shared" si="0"/>
        <v>3123</v>
      </c>
      <c r="AL3" s="1">
        <f t="shared" si="0"/>
        <v>3209</v>
      </c>
      <c r="AM3" s="1">
        <f t="shared" si="0"/>
        <v>3298</v>
      </c>
      <c r="AN3" s="1">
        <f t="shared" si="0"/>
        <v>3390</v>
      </c>
      <c r="AO3" s="1">
        <f t="shared" si="0"/>
        <v>3485</v>
      </c>
      <c r="AP3" s="1">
        <f t="shared" si="0"/>
        <v>3585</v>
      </c>
      <c r="AQ3" s="1">
        <f t="shared" si="0"/>
        <v>3690</v>
      </c>
      <c r="AR3" s="1">
        <f t="shared" si="0"/>
        <v>3800</v>
      </c>
      <c r="AS3" s="1">
        <f t="shared" si="0"/>
        <v>3917</v>
      </c>
      <c r="AT3" s="1">
        <f t="shared" si="0"/>
        <v>4040</v>
      </c>
      <c r="AU3" s="1">
        <f t="shared" si="0"/>
        <v>4171</v>
      </c>
      <c r="AV3" s="1">
        <f t="shared" si="0"/>
        <v>4311</v>
      </c>
      <c r="AW3" s="1">
        <f t="shared" si="0"/>
        <v>4462</v>
      </c>
      <c r="AX3" s="1">
        <f t="shared" si="0"/>
        <v>4624</v>
      </c>
      <c r="AY3" s="1">
        <f t="shared" si="0"/>
        <v>4798</v>
      </c>
      <c r="AZ3" s="1">
        <f t="shared" si="0"/>
        <v>4986</v>
      </c>
      <c r="BA3" s="1">
        <f t="shared" si="0"/>
        <v>5189</v>
      </c>
      <c r="BB3" s="1">
        <f t="shared" si="0"/>
        <v>5408</v>
      </c>
      <c r="BC3" s="1">
        <f t="shared" si="0"/>
        <v>5647</v>
      </c>
      <c r="BD3" s="1">
        <f t="shared" si="0"/>
        <v>5906</v>
      </c>
      <c r="BE3" s="1">
        <f t="shared" si="0"/>
        <v>6189</v>
      </c>
      <c r="BF3" s="1">
        <f t="shared" si="0"/>
        <v>6496</v>
      </c>
      <c r="BG3" s="1">
        <f t="shared" si="0"/>
        <v>6832</v>
      </c>
      <c r="BH3" s="1">
        <f t="shared" si="0"/>
        <v>7199</v>
      </c>
      <c r="BI3" s="1">
        <f t="shared" si="0"/>
        <v>7600</v>
      </c>
      <c r="BJ3" s="1">
        <f t="shared" si="0"/>
        <v>8039</v>
      </c>
    </row>
    <row r="4" spans="1:62" s="1" customFormat="1" x14ac:dyDescent="0.2">
      <c r="B4" s="1" t="s">
        <v>12</v>
      </c>
      <c r="C4" s="78">
        <v>8</v>
      </c>
      <c r="D4" s="78">
        <v>9</v>
      </c>
      <c r="E4" s="78">
        <v>11</v>
      </c>
      <c r="F4" s="78">
        <v>12</v>
      </c>
      <c r="G4" s="78">
        <v>154</v>
      </c>
      <c r="H4" s="1">
        <f>ROUND('Traffic Detail'!H4*SEMToSubscriber+'Traffic Detail'!H7*FacebookToSubscriber+(SUM('Traffic Detail'!H15:H16)+'Traffic Detail'!AZ10+'Traffic Detail'!AZ13)*OrganicToSubscriberConversion,0)</f>
        <v>154</v>
      </c>
      <c r="I4" s="1">
        <f>ROUND('Traffic Detail'!I4*SEMToSubscriber+'Traffic Detail'!I7*FacebookToSubscriber+(SUM('Traffic Detail'!I15:I16)+'Traffic Detail'!BA10+'Traffic Detail'!BA13)*OrganicToSubscriberConversion,0)</f>
        <v>155</v>
      </c>
      <c r="J4" s="1">
        <f>ROUND('Traffic Detail'!J4*SEMToSubscriber+'Traffic Detail'!J7*FacebookToSubscriber+(SUM('Traffic Detail'!J15:J16)+'Traffic Detail'!BB10+'Traffic Detail'!BB13)*OrganicToSubscriberConversion,0)</f>
        <v>155</v>
      </c>
      <c r="K4" s="1">
        <f>ROUND('Traffic Detail'!K4*SEMToSubscriber+'Traffic Detail'!K7*FacebookToSubscriber+(SUM('Traffic Detail'!K15:K16)+'Traffic Detail'!BC10+'Traffic Detail'!BC13)*OrganicToSubscriberConversion,0)</f>
        <v>156</v>
      </c>
      <c r="L4" s="1">
        <f>ROUND('Traffic Detail'!L4*SEMToSubscriber+'Traffic Detail'!L7*FacebookToSubscriber+(SUM('Traffic Detail'!L15:L16)+'Traffic Detail'!BD10+'Traffic Detail'!BD13)*OrganicToSubscriberConversion,0)</f>
        <v>157</v>
      </c>
      <c r="M4" s="1">
        <f>ROUND('Traffic Detail'!M4*SEMToSubscriber+'Traffic Detail'!M7*FacebookToSubscriber+(SUM('Traffic Detail'!M15:M16)+'Traffic Detail'!BE10+'Traffic Detail'!BE13)*OrganicToSubscriberConversion,0)</f>
        <v>157</v>
      </c>
      <c r="N4" s="1">
        <f>ROUND('Traffic Detail'!N4*SEMToSubscriber+'Traffic Detail'!N7*FacebookToSubscriber+(SUM('Traffic Detail'!N15:N16)+'Traffic Detail'!BF10+'Traffic Detail'!BF13)*OrganicToSubscriberConversion,0)</f>
        <v>158</v>
      </c>
      <c r="O4" s="1">
        <f>ROUND('Traffic Detail'!O4*SEMToSubscriber+'Traffic Detail'!O7*FacebookToSubscriber+(SUM('Traffic Detail'!O15:O16)+'Traffic Detail'!BG10+'Traffic Detail'!BG13)*OrganicToSubscriberConversion,0)</f>
        <v>159</v>
      </c>
      <c r="P4" s="1">
        <f>ROUND('Traffic Detail'!P4*SEMToSubscriber+'Traffic Detail'!P7*FacebookToSubscriber+(SUM('Traffic Detail'!P15:P16)+'Traffic Detail'!BH10+'Traffic Detail'!BH13)*OrganicToSubscriberConversion,0)</f>
        <v>159</v>
      </c>
      <c r="Q4" s="1">
        <f>ROUND('Traffic Detail'!Q4*SEMToSubscriber+'Traffic Detail'!Q7*FacebookToSubscriber+(SUM('Traffic Detail'!Q15:Q16)+'Traffic Detail'!BI10+'Traffic Detail'!BI13)*OrganicToSubscriberConversion,0)</f>
        <v>160</v>
      </c>
      <c r="R4" s="1">
        <f>ROUND('Traffic Detail'!R4*SEMToSubscriber+'Traffic Detail'!R7*FacebookToSubscriber+(SUM('Traffic Detail'!R15:R16)+'Traffic Detail'!BJ10+'Traffic Detail'!BJ13)*OrganicToSubscriberConversion,0)</f>
        <v>161</v>
      </c>
      <c r="S4" s="1">
        <f>ROUND('Traffic Detail'!S4*SEMToSubscriber+'Traffic Detail'!S7*FacebookToSubscriber+(SUM('Traffic Detail'!S15:S16)+'Traffic Detail'!BK10+'Traffic Detail'!BK13)*OrganicToSubscriberConversion,0)</f>
        <v>161</v>
      </c>
      <c r="T4" s="1">
        <f>ROUND('Traffic Detail'!T4*SEMToSubscriber+'Traffic Detail'!T7*FacebookToSubscriber+(SUM('Traffic Detail'!T15:T16)+'Traffic Detail'!BL10+'Traffic Detail'!BL13)*OrganicToSubscriberConversion,0)</f>
        <v>163</v>
      </c>
      <c r="U4" s="1">
        <f>ROUND('Traffic Detail'!U4*SEMToSubscriber+'Traffic Detail'!U7*FacebookToSubscriber+(SUM('Traffic Detail'!U15:U16)+'Traffic Detail'!BM10+'Traffic Detail'!BM13)*OrganicToSubscriberConversion,0)</f>
        <v>164</v>
      </c>
      <c r="V4" s="1">
        <f>ROUND('Traffic Detail'!V4*SEMToSubscriber+'Traffic Detail'!V7*FacebookToSubscriber+(SUM('Traffic Detail'!V15:V16)+'Traffic Detail'!BN10+'Traffic Detail'!BN13)*OrganicToSubscriberConversion,0)</f>
        <v>165</v>
      </c>
      <c r="W4" s="1">
        <f>ROUND('Traffic Detail'!W4*SEMToSubscriber+'Traffic Detail'!W7*FacebookToSubscriber+(SUM('Traffic Detail'!W15:W16)+'Traffic Detail'!BO10+'Traffic Detail'!BO13)*OrganicToSubscriberConversion,0)</f>
        <v>167</v>
      </c>
      <c r="X4" s="1">
        <f>ROUND('Traffic Detail'!X4*SEMToSubscriber+'Traffic Detail'!X7*FacebookToSubscriber+(SUM('Traffic Detail'!X15:X16)+'Traffic Detail'!BP10+'Traffic Detail'!BP13)*OrganicToSubscriberConversion,0)</f>
        <v>168</v>
      </c>
      <c r="Y4" s="1">
        <f>ROUND('Traffic Detail'!Y4*SEMToSubscriber+'Traffic Detail'!Y7*FacebookToSubscriber+(SUM('Traffic Detail'!Y15:Y16)+'Traffic Detail'!BQ10+'Traffic Detail'!BQ13)*OrganicToSubscriberConversion,0)</f>
        <v>170</v>
      </c>
      <c r="Z4" s="1">
        <f>ROUND('Traffic Detail'!Z4*SEMToSubscriber+'Traffic Detail'!Z7*FacebookToSubscriber+(SUM('Traffic Detail'!Z15:Z16)+'Traffic Detail'!BR10+'Traffic Detail'!BR13)*OrganicToSubscriberConversion,0)</f>
        <v>172</v>
      </c>
      <c r="AA4" s="1">
        <f>ROUND('Traffic Detail'!AA4*SEMToSubscriber+'Traffic Detail'!AA7*FacebookToSubscriber+(SUM('Traffic Detail'!AA15:AA16)+'Traffic Detail'!BS10+'Traffic Detail'!BS13)*OrganicToSubscriberConversion,0)</f>
        <v>174</v>
      </c>
      <c r="AB4" s="1">
        <f>ROUND('Traffic Detail'!AB4*SEMToSubscriber+'Traffic Detail'!AB7*FacebookToSubscriber+(SUM('Traffic Detail'!AB15:AB16)+'Traffic Detail'!BT10+'Traffic Detail'!BT13)*OrganicToSubscriberConversion,0)</f>
        <v>177</v>
      </c>
      <c r="AC4" s="1">
        <f>ROUND('Traffic Detail'!AC4*SEMToSubscriber+'Traffic Detail'!AC7*FacebookToSubscriber+(SUM('Traffic Detail'!AC15:AC16)+'Traffic Detail'!BU10+'Traffic Detail'!BU13)*OrganicToSubscriberConversion,0)</f>
        <v>179</v>
      </c>
      <c r="AD4" s="1">
        <f>ROUND('Traffic Detail'!AD4*SEMToSubscriber+'Traffic Detail'!AD7*FacebookToSubscriber+(SUM('Traffic Detail'!AD15:AD16)+'Traffic Detail'!BV10+'Traffic Detail'!BV13)*OrganicToSubscriberConversion,0)</f>
        <v>182</v>
      </c>
      <c r="AE4" s="1">
        <f>ROUND('Traffic Detail'!AE4*SEMToSubscriber+'Traffic Detail'!AE7*FacebookToSubscriber+(SUM('Traffic Detail'!AE15:AE16)+'Traffic Detail'!BW10+'Traffic Detail'!BW13)*OrganicToSubscriberConversion,0)</f>
        <v>185</v>
      </c>
      <c r="AF4" s="1">
        <f>ROUND('Traffic Detail'!AF4*SEMToSubscriber+'Traffic Detail'!AF7*FacebookToSubscriber+(SUM('Traffic Detail'!AF15:AF16)+'Traffic Detail'!BX10+'Traffic Detail'!BX13)*OrganicToSubscriberConversion,0)</f>
        <v>189</v>
      </c>
      <c r="AG4" s="1">
        <f>ROUND('Traffic Detail'!AG4*SEMToSubscriber+'Traffic Detail'!AG7*FacebookToSubscriber+(SUM('Traffic Detail'!AG15:AG16)+'Traffic Detail'!BY10+'Traffic Detail'!BY13)*OrganicToSubscriberConversion,0)</f>
        <v>192</v>
      </c>
      <c r="AH4" s="1">
        <f>ROUND('Traffic Detail'!AH4*SEMToSubscriber+'Traffic Detail'!AH7*FacebookToSubscriber+(SUM('Traffic Detail'!AH15:AH16)+'Traffic Detail'!BZ10+'Traffic Detail'!BZ13)*OrganicToSubscriberConversion,0)</f>
        <v>196</v>
      </c>
      <c r="AI4" s="1">
        <f>ROUND('Traffic Detail'!AI4*SEMToSubscriber+'Traffic Detail'!AI7*FacebookToSubscriber+(SUM('Traffic Detail'!AI15:AI16)+'Traffic Detail'!CA10+'Traffic Detail'!CA13)*OrganicToSubscriberConversion,0)</f>
        <v>201</v>
      </c>
      <c r="AJ4" s="1">
        <f>ROUND('Traffic Detail'!AJ4*SEMToSubscriber+'Traffic Detail'!AJ7*FacebookToSubscriber+(SUM('Traffic Detail'!AJ15:AJ16)+'Traffic Detail'!CB10+'Traffic Detail'!CB13)*OrganicToSubscriberConversion,0)</f>
        <v>206</v>
      </c>
      <c r="AK4" s="1">
        <f>ROUND('Traffic Detail'!AK4*SEMToSubscriber+'Traffic Detail'!AK7*FacebookToSubscriber+(SUM('Traffic Detail'!AK15:AK16)+'Traffic Detail'!CC10+'Traffic Detail'!CC13)*OrganicToSubscriberConversion,0)</f>
        <v>211</v>
      </c>
      <c r="AL4" s="1">
        <f>ROUND('Traffic Detail'!AL4*SEMToSubscriber+'Traffic Detail'!AL7*FacebookToSubscriber+(SUM('Traffic Detail'!AL15:AL16)+'Traffic Detail'!CD10+'Traffic Detail'!CD13)*OrganicToSubscriberConversion,0)</f>
        <v>217</v>
      </c>
      <c r="AM4" s="1">
        <f>ROUND('Traffic Detail'!AM4*SEMToSubscriber+'Traffic Detail'!AM7*FacebookToSubscriber+(SUM('Traffic Detail'!AM15:AM16)+'Traffic Detail'!CE10+'Traffic Detail'!CE13)*OrganicToSubscriberConversion,0)</f>
        <v>224</v>
      </c>
      <c r="AN4" s="1">
        <f>ROUND('Traffic Detail'!AN4*SEMToSubscriber+'Traffic Detail'!AN7*FacebookToSubscriber+(SUM('Traffic Detail'!AN15:AN16)+'Traffic Detail'!CF10+'Traffic Detail'!CF13)*OrganicToSubscriberConversion,0)</f>
        <v>231</v>
      </c>
      <c r="AO4" s="1">
        <f>ROUND('Traffic Detail'!AO4*SEMToSubscriber+'Traffic Detail'!AO7*FacebookToSubscriber+(SUM('Traffic Detail'!AO15:AO16)+'Traffic Detail'!CG10+'Traffic Detail'!CG13)*OrganicToSubscriberConversion,0)</f>
        <v>239</v>
      </c>
      <c r="AP4" s="1">
        <f>ROUND('Traffic Detail'!AP4*SEMToSubscriber+'Traffic Detail'!AP7*FacebookToSubscriber+(SUM('Traffic Detail'!AP15:AP16)+'Traffic Detail'!CH10+'Traffic Detail'!CH13)*OrganicToSubscriberConversion,0)</f>
        <v>248</v>
      </c>
      <c r="AQ4" s="1">
        <f>ROUND('Traffic Detail'!AQ4*SEMToSubscriber+'Traffic Detail'!AQ7*FacebookToSubscriber+(SUM('Traffic Detail'!AQ15:AQ16)+'Traffic Detail'!CI10+'Traffic Detail'!CI13)*OrganicToSubscriberConversion,0)</f>
        <v>258</v>
      </c>
      <c r="AR4" s="1">
        <f>ROUND('Traffic Detail'!AR4*SEMToSubscriber+'Traffic Detail'!AR7*FacebookToSubscriber+(SUM('Traffic Detail'!AR15:AR16)+'Traffic Detail'!CJ10+'Traffic Detail'!CJ13)*OrganicToSubscriberConversion,0)</f>
        <v>269</v>
      </c>
      <c r="AS4" s="1">
        <f>ROUND('Traffic Detail'!AS4*SEMToSubscriber+'Traffic Detail'!AS7*FacebookToSubscriber+(SUM('Traffic Detail'!AS15:AS16)+'Traffic Detail'!CK10+'Traffic Detail'!CK13)*OrganicToSubscriberConversion,0)</f>
        <v>280</v>
      </c>
      <c r="AT4" s="1">
        <f>ROUND('Traffic Detail'!AT4*SEMToSubscriber+'Traffic Detail'!AT7*FacebookToSubscriber+(SUM('Traffic Detail'!AT15:AT16)+'Traffic Detail'!CL10+'Traffic Detail'!CL13)*OrganicToSubscriberConversion,0)</f>
        <v>293</v>
      </c>
      <c r="AU4" s="1">
        <f>ROUND('Traffic Detail'!AU4*SEMToSubscriber+'Traffic Detail'!AU7*FacebookToSubscriber+(SUM('Traffic Detail'!AU15:AU16)+'Traffic Detail'!CM10+'Traffic Detail'!CM13)*OrganicToSubscriberConversion,0)</f>
        <v>307</v>
      </c>
      <c r="AV4" s="1">
        <f>ROUND('Traffic Detail'!AV4*SEMToSubscriber+'Traffic Detail'!AV7*FacebookToSubscriber+(SUM('Traffic Detail'!AV15:AV16)+'Traffic Detail'!CN10+'Traffic Detail'!CN13)*OrganicToSubscriberConversion,0)</f>
        <v>323</v>
      </c>
      <c r="AW4" s="1">
        <f>ROUND('Traffic Detail'!AW4*SEMToSubscriber+'Traffic Detail'!AW7*FacebookToSubscriber+(SUM('Traffic Detail'!AW15:AW16)+'Traffic Detail'!CO10+'Traffic Detail'!CO13)*OrganicToSubscriberConversion,0)</f>
        <v>340</v>
      </c>
      <c r="AX4" s="1">
        <f>ROUND('Traffic Detail'!AX4*SEMToSubscriber+'Traffic Detail'!AX7*FacebookToSubscriber+(SUM('Traffic Detail'!AX15:AX16)+'Traffic Detail'!CP10+'Traffic Detail'!CP13)*OrganicToSubscriberConversion,0)</f>
        <v>359</v>
      </c>
      <c r="AY4" s="1">
        <f>ROUND('Traffic Detail'!AY4*SEMToSubscriber+'Traffic Detail'!AY7*FacebookToSubscriber+(SUM('Traffic Detail'!AY15:AY16)+'Traffic Detail'!CQ10+'Traffic Detail'!CQ13)*OrganicToSubscriberConversion,0)</f>
        <v>380</v>
      </c>
      <c r="AZ4" s="1">
        <f>ROUND('Traffic Detail'!AZ4*SEMToSubscriber+'Traffic Detail'!AZ7*FacebookToSubscriber+(SUM('Traffic Detail'!AZ15:AZ16)+'Traffic Detail'!CR10+'Traffic Detail'!CR13)*OrganicToSubscriberConversion,0)</f>
        <v>402</v>
      </c>
      <c r="BA4" s="1">
        <f>ROUND('Traffic Detail'!BA4*SEMToSubscriber+'Traffic Detail'!BA7*FacebookToSubscriber+(SUM('Traffic Detail'!BA15:BA16)+'Traffic Detail'!CS10+'Traffic Detail'!CS13)*OrganicToSubscriberConversion,0)</f>
        <v>427</v>
      </c>
      <c r="BB4" s="1">
        <f>ROUND('Traffic Detail'!BB4*SEMToSubscriber+'Traffic Detail'!BB7*FacebookToSubscriber+(SUM('Traffic Detail'!BB15:BB16)+'Traffic Detail'!CT10+'Traffic Detail'!CT13)*OrganicToSubscriberConversion,0)</f>
        <v>455</v>
      </c>
      <c r="BC4" s="1">
        <f>ROUND('Traffic Detail'!BC4*SEMToSubscriber+'Traffic Detail'!BC7*FacebookToSubscriber+(SUM('Traffic Detail'!BC15:BC16)+'Traffic Detail'!CU10+'Traffic Detail'!CU13)*OrganicToSubscriberConversion,0)</f>
        <v>485</v>
      </c>
      <c r="BD4" s="1">
        <f>ROUND('Traffic Detail'!BD4*SEMToSubscriber+'Traffic Detail'!BD7*FacebookToSubscriber+(SUM('Traffic Detail'!BD15:BD16)+'Traffic Detail'!CV10+'Traffic Detail'!CV13)*OrganicToSubscriberConversion,0)</f>
        <v>519</v>
      </c>
      <c r="BE4" s="1">
        <f>ROUND('Traffic Detail'!BE4*SEMToSubscriber+'Traffic Detail'!BE7*FacebookToSubscriber+(SUM('Traffic Detail'!BE15:BE16)+'Traffic Detail'!CW10+'Traffic Detail'!CW13)*OrganicToSubscriberConversion,0)</f>
        <v>555</v>
      </c>
      <c r="BF4" s="1">
        <f>ROUND('Traffic Detail'!BF4*SEMToSubscriber+'Traffic Detail'!BF7*FacebookToSubscriber+(SUM('Traffic Detail'!BF15:BF16)+'Traffic Detail'!CX10+'Traffic Detail'!CX13)*OrganicToSubscriberConversion,0)</f>
        <v>596</v>
      </c>
      <c r="BG4" s="1">
        <f>ROUND('Traffic Detail'!BG4*SEMToSubscriber+'Traffic Detail'!BG7*FacebookToSubscriber+(SUM('Traffic Detail'!BG15:BG16)+'Traffic Detail'!CY10+'Traffic Detail'!CY13)*OrganicToSubscriberConversion,0)</f>
        <v>640</v>
      </c>
      <c r="BH4" s="1">
        <f>ROUND('Traffic Detail'!BH4*SEMToSubscriber+'Traffic Detail'!BH7*FacebookToSubscriber+(SUM('Traffic Detail'!BH15:BH16)+'Traffic Detail'!CZ10+'Traffic Detail'!CZ13)*OrganicToSubscriberConversion,0)</f>
        <v>689</v>
      </c>
      <c r="BI4" s="1">
        <f>ROUND('Traffic Detail'!BI4*SEMToSubscriber+'Traffic Detail'!BI7*FacebookToSubscriber+(SUM('Traffic Detail'!BI15:BI16)+'Traffic Detail'!DA10+'Traffic Detail'!DA13)*OrganicToSubscriberConversion,0)</f>
        <v>743</v>
      </c>
      <c r="BJ4" s="1">
        <f>ROUND('Traffic Detail'!BJ4*SEMToSubscriber+'Traffic Detail'!BJ7*FacebookToSubscriber+(SUM('Traffic Detail'!BJ15:BJ16)+'Traffic Detail'!DB10+'Traffic Detail'!DB13)*OrganicToSubscriberConversion,0)</f>
        <v>802</v>
      </c>
    </row>
    <row r="5" spans="1:62" s="3" customFormat="1" x14ac:dyDescent="0.2">
      <c r="B5" s="3" t="s">
        <v>26</v>
      </c>
      <c r="C5" s="83">
        <f>C6/C3</f>
        <v>3.0927835051546393E-2</v>
      </c>
      <c r="D5" s="83">
        <f>D6/D3</f>
        <v>4.9019607843137254E-2</v>
      </c>
      <c r="E5" s="83">
        <f t="shared" ref="E5:G5" si="1">E6/E3</f>
        <v>2.8301886792452831E-2</v>
      </c>
      <c r="F5" s="83">
        <f t="shared" si="1"/>
        <v>4.3859649122807015E-2</v>
      </c>
      <c r="G5" s="83">
        <f t="shared" si="1"/>
        <v>3.3057851239669422E-2</v>
      </c>
      <c r="H5" s="11">
        <f>MonthlySubscriptionChurn</f>
        <v>0.04</v>
      </c>
      <c r="I5" s="11">
        <f t="shared" ref="I5:BJ5" si="2">H5</f>
        <v>0.04</v>
      </c>
      <c r="J5" s="11">
        <f t="shared" si="2"/>
        <v>0.04</v>
      </c>
      <c r="K5" s="11">
        <f t="shared" si="2"/>
        <v>0.04</v>
      </c>
      <c r="L5" s="11">
        <f t="shared" si="2"/>
        <v>0.04</v>
      </c>
      <c r="M5" s="11">
        <f t="shared" si="2"/>
        <v>0.04</v>
      </c>
      <c r="N5" s="11">
        <f t="shared" si="2"/>
        <v>0.04</v>
      </c>
      <c r="O5" s="11">
        <f t="shared" si="2"/>
        <v>0.04</v>
      </c>
      <c r="P5" s="11">
        <f t="shared" si="2"/>
        <v>0.04</v>
      </c>
      <c r="Q5" s="11">
        <f t="shared" si="2"/>
        <v>0.04</v>
      </c>
      <c r="R5" s="11">
        <f t="shared" si="2"/>
        <v>0.04</v>
      </c>
      <c r="S5" s="11">
        <f t="shared" si="2"/>
        <v>0.04</v>
      </c>
      <c r="T5" s="11">
        <f t="shared" si="2"/>
        <v>0.04</v>
      </c>
      <c r="U5" s="11">
        <f t="shared" si="2"/>
        <v>0.04</v>
      </c>
      <c r="V5" s="11">
        <f t="shared" si="2"/>
        <v>0.04</v>
      </c>
      <c r="W5" s="11">
        <f t="shared" si="2"/>
        <v>0.04</v>
      </c>
      <c r="X5" s="11">
        <f t="shared" si="2"/>
        <v>0.04</v>
      </c>
      <c r="Y5" s="11">
        <f t="shared" si="2"/>
        <v>0.04</v>
      </c>
      <c r="Z5" s="11">
        <f t="shared" si="2"/>
        <v>0.04</v>
      </c>
      <c r="AA5" s="11">
        <f t="shared" si="2"/>
        <v>0.04</v>
      </c>
      <c r="AB5" s="11">
        <f t="shared" si="2"/>
        <v>0.04</v>
      </c>
      <c r="AC5" s="11">
        <f t="shared" si="2"/>
        <v>0.04</v>
      </c>
      <c r="AD5" s="11">
        <f t="shared" si="2"/>
        <v>0.04</v>
      </c>
      <c r="AE5" s="11">
        <f t="shared" si="2"/>
        <v>0.04</v>
      </c>
      <c r="AF5" s="11">
        <f t="shared" si="2"/>
        <v>0.04</v>
      </c>
      <c r="AG5" s="11">
        <f t="shared" si="2"/>
        <v>0.04</v>
      </c>
      <c r="AH5" s="11">
        <f t="shared" si="2"/>
        <v>0.04</v>
      </c>
      <c r="AI5" s="11">
        <f t="shared" si="2"/>
        <v>0.04</v>
      </c>
      <c r="AJ5" s="11">
        <f t="shared" si="2"/>
        <v>0.04</v>
      </c>
      <c r="AK5" s="11">
        <f t="shared" si="2"/>
        <v>0.04</v>
      </c>
      <c r="AL5" s="11">
        <f t="shared" si="2"/>
        <v>0.04</v>
      </c>
      <c r="AM5" s="11">
        <f t="shared" si="2"/>
        <v>0.04</v>
      </c>
      <c r="AN5" s="11">
        <f t="shared" si="2"/>
        <v>0.04</v>
      </c>
      <c r="AO5" s="11">
        <f t="shared" si="2"/>
        <v>0.04</v>
      </c>
      <c r="AP5" s="11">
        <f t="shared" si="2"/>
        <v>0.04</v>
      </c>
      <c r="AQ5" s="11">
        <f t="shared" si="2"/>
        <v>0.04</v>
      </c>
      <c r="AR5" s="11">
        <f t="shared" si="2"/>
        <v>0.04</v>
      </c>
      <c r="AS5" s="11">
        <f t="shared" si="2"/>
        <v>0.04</v>
      </c>
      <c r="AT5" s="11">
        <f t="shared" si="2"/>
        <v>0.04</v>
      </c>
      <c r="AU5" s="11">
        <f t="shared" si="2"/>
        <v>0.04</v>
      </c>
      <c r="AV5" s="11">
        <f t="shared" si="2"/>
        <v>0.04</v>
      </c>
      <c r="AW5" s="11">
        <f t="shared" si="2"/>
        <v>0.04</v>
      </c>
      <c r="AX5" s="11">
        <f t="shared" si="2"/>
        <v>0.04</v>
      </c>
      <c r="AY5" s="11">
        <f t="shared" si="2"/>
        <v>0.04</v>
      </c>
      <c r="AZ5" s="11">
        <f t="shared" si="2"/>
        <v>0.04</v>
      </c>
      <c r="BA5" s="11">
        <f t="shared" si="2"/>
        <v>0.04</v>
      </c>
      <c r="BB5" s="11">
        <f t="shared" si="2"/>
        <v>0.04</v>
      </c>
      <c r="BC5" s="11">
        <f t="shared" si="2"/>
        <v>0.04</v>
      </c>
      <c r="BD5" s="11">
        <f t="shared" si="2"/>
        <v>0.04</v>
      </c>
      <c r="BE5" s="11">
        <f t="shared" si="2"/>
        <v>0.04</v>
      </c>
      <c r="BF5" s="11">
        <f t="shared" si="2"/>
        <v>0.04</v>
      </c>
      <c r="BG5" s="11">
        <f t="shared" si="2"/>
        <v>0.04</v>
      </c>
      <c r="BH5" s="11">
        <f t="shared" si="2"/>
        <v>0.04</v>
      </c>
      <c r="BI5" s="11">
        <f t="shared" si="2"/>
        <v>0.04</v>
      </c>
      <c r="BJ5" s="11">
        <f t="shared" si="2"/>
        <v>0.04</v>
      </c>
    </row>
    <row r="6" spans="1:62" s="1" customFormat="1" x14ac:dyDescent="0.2">
      <c r="B6" s="1" t="s">
        <v>13</v>
      </c>
      <c r="C6" s="78">
        <v>3</v>
      </c>
      <c r="D6" s="78">
        <v>5</v>
      </c>
      <c r="E6" s="78">
        <v>3</v>
      </c>
      <c r="F6" s="78">
        <v>5</v>
      </c>
      <c r="G6" s="78">
        <v>4</v>
      </c>
      <c r="H6" s="1">
        <f t="shared" ref="H6" si="3">ROUND(H3*H5,0)</f>
        <v>11</v>
      </c>
      <c r="I6" s="1">
        <f t="shared" ref="I6" si="4">ROUND(I3*I5,0)</f>
        <v>17</v>
      </c>
      <c r="J6" s="1">
        <f t="shared" ref="J6" si="5">ROUND(J3*J5,0)</f>
        <v>22</v>
      </c>
      <c r="K6" s="1">
        <f t="shared" ref="K6" si="6">ROUND(K3*K5,0)</f>
        <v>27</v>
      </c>
      <c r="L6" s="1">
        <f t="shared" ref="L6" si="7">ROUND(L3*L5,0)</f>
        <v>33</v>
      </c>
      <c r="M6" s="1">
        <f t="shared" ref="M6" si="8">ROUND(M3*M5,0)</f>
        <v>38</v>
      </c>
      <c r="N6" s="1">
        <f t="shared" ref="N6" si="9">ROUND(N3*N5,0)</f>
        <v>42</v>
      </c>
      <c r="O6" s="1">
        <f t="shared" ref="O6" si="10">ROUND(O3*O5,0)</f>
        <v>47</v>
      </c>
      <c r="P6" s="1">
        <f t="shared" ref="P6" si="11">ROUND(P3*P5,0)</f>
        <v>51</v>
      </c>
      <c r="Q6" s="1">
        <f t="shared" ref="Q6" si="12">ROUND(Q3*Q5,0)</f>
        <v>56</v>
      </c>
      <c r="R6" s="1">
        <f t="shared" ref="R6" si="13">ROUND(R3*R5,0)</f>
        <v>60</v>
      </c>
      <c r="S6" s="1">
        <f t="shared" ref="S6" si="14">ROUND(S3*S5,0)</f>
        <v>64</v>
      </c>
      <c r="T6" s="1">
        <f t="shared" ref="T6" si="15">ROUND(T3*T5,0)</f>
        <v>68</v>
      </c>
      <c r="U6" s="1">
        <f t="shared" ref="U6" si="16">ROUND(U3*U5,0)</f>
        <v>72</v>
      </c>
      <c r="V6" s="1">
        <f t="shared" ref="V6" si="17">ROUND(V3*V5,0)</f>
        <v>75</v>
      </c>
      <c r="W6" s="1">
        <f t="shared" ref="W6" si="18">ROUND(W3*W5,0)</f>
        <v>79</v>
      </c>
      <c r="X6" s="1">
        <f t="shared" ref="X6" si="19">ROUND(X3*X5,0)</f>
        <v>82</v>
      </c>
      <c r="Y6" s="1">
        <f t="shared" ref="Y6" si="20">ROUND(Y3*Y5,0)</f>
        <v>86</v>
      </c>
      <c r="Z6" s="1">
        <f t="shared" ref="Z6" si="21">ROUND(Z3*Z5,0)</f>
        <v>89</v>
      </c>
      <c r="AA6" s="1">
        <f t="shared" ref="AA6" si="22">ROUND(AA3*AA5,0)</f>
        <v>93</v>
      </c>
      <c r="AB6" s="1">
        <f t="shared" ref="AB6" si="23">ROUND(AB3*AB5,0)</f>
        <v>96</v>
      </c>
      <c r="AC6" s="1">
        <f t="shared" ref="AC6" si="24">ROUND(AC3*AC5,0)</f>
        <v>99</v>
      </c>
      <c r="AD6" s="1">
        <f t="shared" ref="AD6" si="25">ROUND(AD3*AD5,0)</f>
        <v>102</v>
      </c>
      <c r="AE6" s="1">
        <f t="shared" ref="AE6" si="26">ROUND(AE3*AE5,0)</f>
        <v>105</v>
      </c>
      <c r="AF6" s="1">
        <f t="shared" ref="AF6" si="27">ROUND(AF3*AF5,0)</f>
        <v>109</v>
      </c>
      <c r="AG6" s="1">
        <f t="shared" ref="AG6" si="28">ROUND(AG3*AG5,0)</f>
        <v>112</v>
      </c>
      <c r="AH6" s="1">
        <f t="shared" ref="AH6" si="29">ROUND(AH3*AH5,0)</f>
        <v>115</v>
      </c>
      <c r="AI6" s="1">
        <f t="shared" ref="AI6" si="30">ROUND(AI3*AI5,0)</f>
        <v>118</v>
      </c>
      <c r="AJ6" s="1">
        <f t="shared" ref="AJ6" si="31">ROUND(AJ3*AJ5,0)</f>
        <v>122</v>
      </c>
      <c r="AK6" s="1">
        <f t="shared" ref="AK6" si="32">ROUND(AK3*AK5,0)</f>
        <v>125</v>
      </c>
      <c r="AL6" s="1">
        <f t="shared" ref="AL6" si="33">ROUND(AL3*AL5,0)</f>
        <v>128</v>
      </c>
      <c r="AM6" s="1">
        <f t="shared" ref="AM6" si="34">ROUND(AM3*AM5,0)</f>
        <v>132</v>
      </c>
      <c r="AN6" s="1">
        <f t="shared" ref="AN6" si="35">ROUND(AN3*AN5,0)</f>
        <v>136</v>
      </c>
      <c r="AO6" s="1">
        <f t="shared" ref="AO6" si="36">ROUND(AO3*AO5,0)</f>
        <v>139</v>
      </c>
      <c r="AP6" s="1">
        <f t="shared" ref="AP6" si="37">ROUND(AP3*AP5,0)</f>
        <v>143</v>
      </c>
      <c r="AQ6" s="1">
        <f t="shared" ref="AQ6" si="38">ROUND(AQ3*AQ5,0)</f>
        <v>148</v>
      </c>
      <c r="AR6" s="1">
        <f t="shared" ref="AR6" si="39">ROUND(AR3*AR5,0)</f>
        <v>152</v>
      </c>
      <c r="AS6" s="1">
        <f t="shared" ref="AS6" si="40">ROUND(AS3*AS5,0)</f>
        <v>157</v>
      </c>
      <c r="AT6" s="1">
        <f t="shared" ref="AT6" si="41">ROUND(AT3*AT5,0)</f>
        <v>162</v>
      </c>
      <c r="AU6" s="1">
        <f t="shared" ref="AU6" si="42">ROUND(AU3*AU5,0)</f>
        <v>167</v>
      </c>
      <c r="AV6" s="1">
        <f t="shared" ref="AV6" si="43">ROUND(AV3*AV5,0)</f>
        <v>172</v>
      </c>
      <c r="AW6" s="1">
        <f t="shared" ref="AW6" si="44">ROUND(AW3*AW5,0)</f>
        <v>178</v>
      </c>
      <c r="AX6" s="1">
        <f t="shared" ref="AX6" si="45">ROUND(AX3*AX5,0)</f>
        <v>185</v>
      </c>
      <c r="AY6" s="1">
        <f t="shared" ref="AY6" si="46">ROUND(AY3*AY5,0)</f>
        <v>192</v>
      </c>
      <c r="AZ6" s="1">
        <f t="shared" ref="AZ6" si="47">ROUND(AZ3*AZ5,0)</f>
        <v>199</v>
      </c>
      <c r="BA6" s="1">
        <f t="shared" ref="BA6" si="48">ROUND(BA3*BA5,0)</f>
        <v>208</v>
      </c>
      <c r="BB6" s="1">
        <f t="shared" ref="BB6" si="49">ROUND(BB3*BB5,0)</f>
        <v>216</v>
      </c>
      <c r="BC6" s="1">
        <f t="shared" ref="BC6" si="50">ROUND(BC3*BC5,0)</f>
        <v>226</v>
      </c>
      <c r="BD6" s="1">
        <f t="shared" ref="BD6" si="51">ROUND(BD3*BD5,0)</f>
        <v>236</v>
      </c>
      <c r="BE6" s="1">
        <f t="shared" ref="BE6" si="52">ROUND(BE3*BE5,0)</f>
        <v>248</v>
      </c>
      <c r="BF6" s="1">
        <f t="shared" ref="BF6" si="53">ROUND(BF3*BF5,0)</f>
        <v>260</v>
      </c>
      <c r="BG6" s="1">
        <f t="shared" ref="BG6" si="54">ROUND(BG3*BG5,0)</f>
        <v>273</v>
      </c>
      <c r="BH6" s="1">
        <f t="shared" ref="BH6" si="55">ROUND(BH3*BH5,0)</f>
        <v>288</v>
      </c>
      <c r="BI6" s="1">
        <f t="shared" ref="BI6" si="56">ROUND(BI3*BI5,0)</f>
        <v>304</v>
      </c>
      <c r="BJ6" s="1">
        <f t="shared" ref="BJ6" si="57">ROUND(BJ3*BJ5,0)</f>
        <v>322</v>
      </c>
    </row>
    <row r="7" spans="1:62" s="1" customFormat="1" x14ac:dyDescent="0.2">
      <c r="B7" s="1" t="s">
        <v>14</v>
      </c>
      <c r="C7" s="78">
        <f>C3+C4-C6</f>
        <v>102</v>
      </c>
      <c r="D7" s="78">
        <f t="shared" ref="D7" si="58">D3+D4-D6</f>
        <v>106</v>
      </c>
      <c r="E7" s="78">
        <f t="shared" ref="E7" si="59">E3+E4-E6</f>
        <v>114</v>
      </c>
      <c r="F7" s="78">
        <f t="shared" ref="F7" si="60">F3+F4-F6</f>
        <v>121</v>
      </c>
      <c r="G7" s="78">
        <f t="shared" ref="G7" si="61">G3+G4-G6</f>
        <v>271</v>
      </c>
      <c r="H7" s="1">
        <f t="shared" ref="H7" si="62">H3+H4-H6</f>
        <v>414</v>
      </c>
      <c r="I7" s="1">
        <f t="shared" ref="I7" si="63">I3+I4-I6</f>
        <v>552</v>
      </c>
      <c r="J7" s="1">
        <f t="shared" ref="J7" si="64">J3+J4-J6</f>
        <v>685</v>
      </c>
      <c r="K7" s="1">
        <f t="shared" ref="K7" si="65">K3+K4-K6</f>
        <v>814</v>
      </c>
      <c r="L7" s="1">
        <f t="shared" ref="L7" si="66">L3+L4-L6</f>
        <v>938</v>
      </c>
      <c r="M7" s="1">
        <f t="shared" ref="M7" si="67">M3+M4-M6</f>
        <v>1057</v>
      </c>
      <c r="N7" s="1">
        <f t="shared" ref="N7" si="68">N3+N4-N6</f>
        <v>1173</v>
      </c>
      <c r="O7" s="1">
        <f t="shared" ref="O7" si="69">O3+O4-O6</f>
        <v>1285</v>
      </c>
      <c r="P7" s="1">
        <f t="shared" ref="P7" si="70">P3+P4-P6</f>
        <v>1393</v>
      </c>
      <c r="Q7" s="1">
        <f t="shared" ref="Q7" si="71">Q3+Q4-Q6</f>
        <v>1497</v>
      </c>
      <c r="R7" s="1">
        <f t="shared" ref="R7" si="72">R3+R4-R6</f>
        <v>1598</v>
      </c>
      <c r="S7" s="1">
        <f t="shared" ref="S7" si="73">S3+S4-S6</f>
        <v>1695</v>
      </c>
      <c r="T7" s="1">
        <f t="shared" ref="T7" si="74">T3+T4-T6</f>
        <v>1790</v>
      </c>
      <c r="U7" s="1">
        <f t="shared" ref="U7" si="75">U3+U4-U6</f>
        <v>1882</v>
      </c>
      <c r="V7" s="1">
        <f t="shared" ref="V7" si="76">V3+V4-V6</f>
        <v>1972</v>
      </c>
      <c r="W7" s="1">
        <f t="shared" ref="W7" si="77">W3+W4-W6</f>
        <v>2060</v>
      </c>
      <c r="X7" s="1">
        <f t="shared" ref="X7" si="78">X3+X4-X6</f>
        <v>2146</v>
      </c>
      <c r="Y7" s="1">
        <f t="shared" ref="Y7" si="79">Y3+Y4-Y6</f>
        <v>2230</v>
      </c>
      <c r="Z7" s="1">
        <f t="shared" ref="Z7" si="80">Z3+Z4-Z6</f>
        <v>2313</v>
      </c>
      <c r="AA7" s="1">
        <f t="shared" ref="AA7" si="81">AA3+AA4-AA6</f>
        <v>2394</v>
      </c>
      <c r="AB7" s="1">
        <f t="shared" ref="AB7" si="82">AB3+AB4-AB6</f>
        <v>2475</v>
      </c>
      <c r="AC7" s="1">
        <f t="shared" ref="AC7" si="83">AC3+AC4-AC6</f>
        <v>2555</v>
      </c>
      <c r="AD7" s="1">
        <f t="shared" ref="AD7" si="84">AD3+AD4-AD6</f>
        <v>2635</v>
      </c>
      <c r="AE7" s="1">
        <f t="shared" ref="AE7" si="85">AE3+AE4-AE6</f>
        <v>2715</v>
      </c>
      <c r="AF7" s="1">
        <f t="shared" ref="AF7" si="86">AF3+AF4-AF6</f>
        <v>2795</v>
      </c>
      <c r="AG7" s="1">
        <f t="shared" ref="AG7" si="87">AG3+AG4-AG6</f>
        <v>2875</v>
      </c>
      <c r="AH7" s="1">
        <f t="shared" ref="AH7" si="88">AH3+AH4-AH6</f>
        <v>2956</v>
      </c>
      <c r="AI7" s="1">
        <f t="shared" ref="AI7" si="89">AI3+AI4-AI6</f>
        <v>3039</v>
      </c>
      <c r="AJ7" s="1">
        <f t="shared" ref="AJ7" si="90">AJ3+AJ4-AJ6</f>
        <v>3123</v>
      </c>
      <c r="AK7" s="1">
        <f t="shared" ref="AK7" si="91">AK3+AK4-AK6</f>
        <v>3209</v>
      </c>
      <c r="AL7" s="1">
        <f t="shared" ref="AL7" si="92">AL3+AL4-AL6</f>
        <v>3298</v>
      </c>
      <c r="AM7" s="1">
        <f t="shared" ref="AM7" si="93">AM3+AM4-AM6</f>
        <v>3390</v>
      </c>
      <c r="AN7" s="1">
        <f t="shared" ref="AN7" si="94">AN3+AN4-AN6</f>
        <v>3485</v>
      </c>
      <c r="AO7" s="1">
        <f t="shared" ref="AO7" si="95">AO3+AO4-AO6</f>
        <v>3585</v>
      </c>
      <c r="AP7" s="1">
        <f t="shared" ref="AP7" si="96">AP3+AP4-AP6</f>
        <v>3690</v>
      </c>
      <c r="AQ7" s="1">
        <f t="shared" ref="AQ7" si="97">AQ3+AQ4-AQ6</f>
        <v>3800</v>
      </c>
      <c r="AR7" s="1">
        <f t="shared" ref="AR7" si="98">AR3+AR4-AR6</f>
        <v>3917</v>
      </c>
      <c r="AS7" s="1">
        <f t="shared" ref="AS7" si="99">AS3+AS4-AS6</f>
        <v>4040</v>
      </c>
      <c r="AT7" s="1">
        <f t="shared" ref="AT7" si="100">AT3+AT4-AT6</f>
        <v>4171</v>
      </c>
      <c r="AU7" s="1">
        <f t="shared" ref="AU7" si="101">AU3+AU4-AU6</f>
        <v>4311</v>
      </c>
      <c r="AV7" s="1">
        <f t="shared" ref="AV7" si="102">AV3+AV4-AV6</f>
        <v>4462</v>
      </c>
      <c r="AW7" s="1">
        <f t="shared" ref="AW7" si="103">AW3+AW4-AW6</f>
        <v>4624</v>
      </c>
      <c r="AX7" s="1">
        <f t="shared" ref="AX7" si="104">AX3+AX4-AX6</f>
        <v>4798</v>
      </c>
      <c r="AY7" s="1">
        <f t="shared" ref="AY7" si="105">AY3+AY4-AY6</f>
        <v>4986</v>
      </c>
      <c r="AZ7" s="1">
        <f t="shared" ref="AZ7" si="106">AZ3+AZ4-AZ6</f>
        <v>5189</v>
      </c>
      <c r="BA7" s="1">
        <f t="shared" ref="BA7" si="107">BA3+BA4-BA6</f>
        <v>5408</v>
      </c>
      <c r="BB7" s="1">
        <f t="shared" ref="BB7" si="108">BB3+BB4-BB6</f>
        <v>5647</v>
      </c>
      <c r="BC7" s="1">
        <f t="shared" ref="BC7" si="109">BC3+BC4-BC6</f>
        <v>5906</v>
      </c>
      <c r="BD7" s="1">
        <f t="shared" ref="BD7" si="110">BD3+BD4-BD6</f>
        <v>6189</v>
      </c>
      <c r="BE7" s="1">
        <f t="shared" ref="BE7" si="111">BE3+BE4-BE6</f>
        <v>6496</v>
      </c>
      <c r="BF7" s="1">
        <f t="shared" ref="BF7" si="112">BF3+BF4-BF6</f>
        <v>6832</v>
      </c>
      <c r="BG7" s="1">
        <f t="shared" ref="BG7" si="113">BG3+BG4-BG6</f>
        <v>7199</v>
      </c>
      <c r="BH7" s="1">
        <f t="shared" ref="BH7" si="114">BH3+BH4-BH6</f>
        <v>7600</v>
      </c>
      <c r="BI7" s="1">
        <f t="shared" ref="BI7" si="115">BI3+BI4-BI6</f>
        <v>8039</v>
      </c>
      <c r="BJ7" s="1">
        <f t="shared" ref="BJ7" si="116">BJ3+BJ4-BJ6</f>
        <v>8519</v>
      </c>
    </row>
    <row r="8" spans="1:62" x14ac:dyDescent="0.2">
      <c r="C8" s="79"/>
      <c r="D8" s="79"/>
      <c r="E8" s="79"/>
      <c r="F8" s="79"/>
      <c r="G8" s="79"/>
    </row>
    <row r="9" spans="1:62" s="3" customFormat="1" x14ac:dyDescent="0.2">
      <c r="B9" s="3" t="s">
        <v>16</v>
      </c>
      <c r="C9" s="84">
        <v>29.99</v>
      </c>
      <c r="D9" s="84">
        <v>29.99</v>
      </c>
      <c r="E9" s="84">
        <v>29.99</v>
      </c>
      <c r="F9" s="84">
        <v>29.99</v>
      </c>
      <c r="G9" s="84">
        <v>29.99</v>
      </c>
      <c r="H9" s="13">
        <f>MonthlySubscriptionPrice</f>
        <v>29.99</v>
      </c>
      <c r="I9" s="13">
        <f t="shared" ref="I9:BJ9" si="117">H9</f>
        <v>29.99</v>
      </c>
      <c r="J9" s="13">
        <f t="shared" si="117"/>
        <v>29.99</v>
      </c>
      <c r="K9" s="13">
        <f t="shared" si="117"/>
        <v>29.99</v>
      </c>
      <c r="L9" s="13">
        <f t="shared" si="117"/>
        <v>29.99</v>
      </c>
      <c r="M9" s="13">
        <f t="shared" si="117"/>
        <v>29.99</v>
      </c>
      <c r="N9" s="13">
        <f t="shared" si="117"/>
        <v>29.99</v>
      </c>
      <c r="O9" s="13">
        <f t="shared" si="117"/>
        <v>29.99</v>
      </c>
      <c r="P9" s="13">
        <f t="shared" si="117"/>
        <v>29.99</v>
      </c>
      <c r="Q9" s="13">
        <f t="shared" si="117"/>
        <v>29.99</v>
      </c>
      <c r="R9" s="13">
        <f t="shared" si="117"/>
        <v>29.99</v>
      </c>
      <c r="S9" s="13">
        <f t="shared" si="117"/>
        <v>29.99</v>
      </c>
      <c r="T9" s="13">
        <f t="shared" si="117"/>
        <v>29.99</v>
      </c>
      <c r="U9" s="13">
        <f t="shared" si="117"/>
        <v>29.99</v>
      </c>
      <c r="V9" s="13">
        <f t="shared" si="117"/>
        <v>29.99</v>
      </c>
      <c r="W9" s="13">
        <f t="shared" si="117"/>
        <v>29.99</v>
      </c>
      <c r="X9" s="13">
        <f t="shared" si="117"/>
        <v>29.99</v>
      </c>
      <c r="Y9" s="13">
        <f t="shared" si="117"/>
        <v>29.99</v>
      </c>
      <c r="Z9" s="13">
        <f t="shared" si="117"/>
        <v>29.99</v>
      </c>
      <c r="AA9" s="13">
        <f t="shared" si="117"/>
        <v>29.99</v>
      </c>
      <c r="AB9" s="13">
        <f t="shared" si="117"/>
        <v>29.99</v>
      </c>
      <c r="AC9" s="13">
        <f t="shared" si="117"/>
        <v>29.99</v>
      </c>
      <c r="AD9" s="13">
        <f t="shared" si="117"/>
        <v>29.99</v>
      </c>
      <c r="AE9" s="13">
        <f t="shared" si="117"/>
        <v>29.99</v>
      </c>
      <c r="AF9" s="13">
        <f t="shared" si="117"/>
        <v>29.99</v>
      </c>
      <c r="AG9" s="13">
        <f t="shared" si="117"/>
        <v>29.99</v>
      </c>
      <c r="AH9" s="13">
        <f t="shared" si="117"/>
        <v>29.99</v>
      </c>
      <c r="AI9" s="13">
        <f t="shared" si="117"/>
        <v>29.99</v>
      </c>
      <c r="AJ9" s="13">
        <f t="shared" si="117"/>
        <v>29.99</v>
      </c>
      <c r="AK9" s="13">
        <f t="shared" si="117"/>
        <v>29.99</v>
      </c>
      <c r="AL9" s="13">
        <f t="shared" si="117"/>
        <v>29.99</v>
      </c>
      <c r="AM9" s="13">
        <f t="shared" si="117"/>
        <v>29.99</v>
      </c>
      <c r="AN9" s="13">
        <f t="shared" si="117"/>
        <v>29.99</v>
      </c>
      <c r="AO9" s="13">
        <f t="shared" si="117"/>
        <v>29.99</v>
      </c>
      <c r="AP9" s="13">
        <f t="shared" si="117"/>
        <v>29.99</v>
      </c>
      <c r="AQ9" s="13">
        <f t="shared" si="117"/>
        <v>29.99</v>
      </c>
      <c r="AR9" s="13">
        <f t="shared" si="117"/>
        <v>29.99</v>
      </c>
      <c r="AS9" s="13">
        <f t="shared" si="117"/>
        <v>29.99</v>
      </c>
      <c r="AT9" s="13">
        <f t="shared" si="117"/>
        <v>29.99</v>
      </c>
      <c r="AU9" s="13">
        <f t="shared" si="117"/>
        <v>29.99</v>
      </c>
      <c r="AV9" s="13">
        <f t="shared" si="117"/>
        <v>29.99</v>
      </c>
      <c r="AW9" s="13">
        <f t="shared" si="117"/>
        <v>29.99</v>
      </c>
      <c r="AX9" s="13">
        <f t="shared" si="117"/>
        <v>29.99</v>
      </c>
      <c r="AY9" s="13">
        <f t="shared" si="117"/>
        <v>29.99</v>
      </c>
      <c r="AZ9" s="13">
        <f t="shared" si="117"/>
        <v>29.99</v>
      </c>
      <c r="BA9" s="13">
        <f t="shared" si="117"/>
        <v>29.99</v>
      </c>
      <c r="BB9" s="13">
        <f t="shared" si="117"/>
        <v>29.99</v>
      </c>
      <c r="BC9" s="13">
        <f t="shared" si="117"/>
        <v>29.99</v>
      </c>
      <c r="BD9" s="13">
        <f t="shared" si="117"/>
        <v>29.99</v>
      </c>
      <c r="BE9" s="13">
        <f t="shared" si="117"/>
        <v>29.99</v>
      </c>
      <c r="BF9" s="13">
        <f t="shared" si="117"/>
        <v>29.99</v>
      </c>
      <c r="BG9" s="13">
        <f t="shared" si="117"/>
        <v>29.99</v>
      </c>
      <c r="BH9" s="13">
        <f t="shared" si="117"/>
        <v>29.99</v>
      </c>
      <c r="BI9" s="13">
        <f t="shared" si="117"/>
        <v>29.99</v>
      </c>
      <c r="BJ9" s="13">
        <f t="shared" si="117"/>
        <v>29.99</v>
      </c>
    </row>
    <row r="10" spans="1:62" x14ac:dyDescent="0.2">
      <c r="C10" s="85"/>
      <c r="D10" s="85"/>
      <c r="E10" s="85"/>
      <c r="F10" s="85"/>
      <c r="G10" s="85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</row>
    <row r="11" spans="1:62" s="20" customFormat="1" x14ac:dyDescent="0.2">
      <c r="B11" s="20" t="s">
        <v>27</v>
      </c>
      <c r="C11" s="86">
        <f>C9*C7</f>
        <v>3058.98</v>
      </c>
      <c r="D11" s="86">
        <f t="shared" ref="D11:BJ11" si="118">D9*D7</f>
        <v>3178.94</v>
      </c>
      <c r="E11" s="86">
        <f t="shared" si="118"/>
        <v>3418.8599999999997</v>
      </c>
      <c r="F11" s="86">
        <f t="shared" si="118"/>
        <v>3628.79</v>
      </c>
      <c r="G11" s="86">
        <f t="shared" si="118"/>
        <v>8127.29</v>
      </c>
      <c r="H11" s="21">
        <f t="shared" si="118"/>
        <v>12415.859999999999</v>
      </c>
      <c r="I11" s="21">
        <f t="shared" si="118"/>
        <v>16554.48</v>
      </c>
      <c r="J11" s="21">
        <f t="shared" si="118"/>
        <v>20543.149999999998</v>
      </c>
      <c r="K11" s="21">
        <f t="shared" si="118"/>
        <v>24411.859999999997</v>
      </c>
      <c r="L11" s="21">
        <f t="shared" si="118"/>
        <v>28130.62</v>
      </c>
      <c r="M11" s="21">
        <f t="shared" si="118"/>
        <v>31699.429999999997</v>
      </c>
      <c r="N11" s="21">
        <f t="shared" si="118"/>
        <v>35178.269999999997</v>
      </c>
      <c r="O11" s="21">
        <f t="shared" si="118"/>
        <v>38537.15</v>
      </c>
      <c r="P11" s="21">
        <f t="shared" si="118"/>
        <v>41776.07</v>
      </c>
      <c r="Q11" s="21">
        <f t="shared" si="118"/>
        <v>44895.03</v>
      </c>
      <c r="R11" s="21">
        <f t="shared" si="118"/>
        <v>47924.02</v>
      </c>
      <c r="S11" s="21">
        <f t="shared" si="118"/>
        <v>50833.049999999996</v>
      </c>
      <c r="T11" s="21">
        <f t="shared" si="118"/>
        <v>53682.1</v>
      </c>
      <c r="U11" s="21">
        <f t="shared" si="118"/>
        <v>56441.18</v>
      </c>
      <c r="V11" s="21">
        <f t="shared" si="118"/>
        <v>59140.28</v>
      </c>
      <c r="W11" s="21">
        <f t="shared" si="118"/>
        <v>61779.399999999994</v>
      </c>
      <c r="X11" s="21">
        <f t="shared" si="118"/>
        <v>64358.539999999994</v>
      </c>
      <c r="Y11" s="21">
        <f t="shared" si="118"/>
        <v>66877.7</v>
      </c>
      <c r="Z11" s="21">
        <f t="shared" si="118"/>
        <v>69366.87</v>
      </c>
      <c r="AA11" s="21">
        <f t="shared" si="118"/>
        <v>71796.06</v>
      </c>
      <c r="AB11" s="21">
        <f t="shared" si="118"/>
        <v>74225.25</v>
      </c>
      <c r="AC11" s="21">
        <f t="shared" si="118"/>
        <v>76624.45</v>
      </c>
      <c r="AD11" s="21">
        <f t="shared" si="118"/>
        <v>79023.649999999994</v>
      </c>
      <c r="AE11" s="21">
        <f t="shared" si="118"/>
        <v>81422.849999999991</v>
      </c>
      <c r="AF11" s="21">
        <f t="shared" si="118"/>
        <v>83822.049999999988</v>
      </c>
      <c r="AG11" s="21">
        <f t="shared" si="118"/>
        <v>86221.25</v>
      </c>
      <c r="AH11" s="21">
        <f t="shared" si="118"/>
        <v>88650.44</v>
      </c>
      <c r="AI11" s="21">
        <f t="shared" si="118"/>
        <v>91139.61</v>
      </c>
      <c r="AJ11" s="21">
        <f t="shared" si="118"/>
        <v>93658.76999999999</v>
      </c>
      <c r="AK11" s="21">
        <f t="shared" si="118"/>
        <v>96237.909999999989</v>
      </c>
      <c r="AL11" s="21">
        <f t="shared" si="118"/>
        <v>98907.01999999999</v>
      </c>
      <c r="AM11" s="21">
        <f t="shared" si="118"/>
        <v>101666.09999999999</v>
      </c>
      <c r="AN11" s="21">
        <f t="shared" si="118"/>
        <v>104515.15</v>
      </c>
      <c r="AO11" s="21">
        <f t="shared" si="118"/>
        <v>107514.15</v>
      </c>
      <c r="AP11" s="21">
        <f t="shared" si="118"/>
        <v>110663.09999999999</v>
      </c>
      <c r="AQ11" s="21">
        <f t="shared" si="118"/>
        <v>113962</v>
      </c>
      <c r="AR11" s="21">
        <f t="shared" si="118"/>
        <v>117470.82999999999</v>
      </c>
      <c r="AS11" s="21">
        <f t="shared" si="118"/>
        <v>121159.59999999999</v>
      </c>
      <c r="AT11" s="21">
        <f t="shared" si="118"/>
        <v>125088.29</v>
      </c>
      <c r="AU11" s="21">
        <f t="shared" si="118"/>
        <v>129286.89</v>
      </c>
      <c r="AV11" s="21">
        <f t="shared" si="118"/>
        <v>133815.38</v>
      </c>
      <c r="AW11" s="21">
        <f t="shared" si="118"/>
        <v>138673.75999999998</v>
      </c>
      <c r="AX11" s="21">
        <f t="shared" si="118"/>
        <v>143892.01999999999</v>
      </c>
      <c r="AY11" s="21">
        <f t="shared" si="118"/>
        <v>149530.13999999998</v>
      </c>
      <c r="AZ11" s="21">
        <f t="shared" si="118"/>
        <v>155618.10999999999</v>
      </c>
      <c r="BA11" s="21">
        <f t="shared" si="118"/>
        <v>162185.91999999998</v>
      </c>
      <c r="BB11" s="21">
        <f t="shared" si="118"/>
        <v>169353.53</v>
      </c>
      <c r="BC11" s="21">
        <f t="shared" si="118"/>
        <v>177120.94</v>
      </c>
      <c r="BD11" s="21">
        <f t="shared" si="118"/>
        <v>185608.11</v>
      </c>
      <c r="BE11" s="21">
        <f t="shared" si="118"/>
        <v>194815.03999999998</v>
      </c>
      <c r="BF11" s="21">
        <f t="shared" si="118"/>
        <v>204891.68</v>
      </c>
      <c r="BG11" s="21">
        <f t="shared" si="118"/>
        <v>215898.00999999998</v>
      </c>
      <c r="BH11" s="21">
        <f t="shared" si="118"/>
        <v>227924</v>
      </c>
      <c r="BI11" s="21">
        <f t="shared" si="118"/>
        <v>241089.61</v>
      </c>
      <c r="BJ11" s="21">
        <f t="shared" si="118"/>
        <v>255484.81</v>
      </c>
    </row>
    <row r="12" spans="1:62" x14ac:dyDescent="0.2">
      <c r="C12" s="85"/>
      <c r="D12" s="85"/>
      <c r="E12" s="85"/>
      <c r="F12" s="85"/>
      <c r="G12" s="8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</row>
    <row r="13" spans="1:62" s="3" customFormat="1" x14ac:dyDescent="0.2">
      <c r="B13" s="3" t="s">
        <v>17</v>
      </c>
      <c r="C13" s="87">
        <f>(C15/C14)/C7</f>
        <v>8.9745494157258868E-2</v>
      </c>
      <c r="D13" s="87">
        <f t="shared" ref="D13:G13" si="119">(D15/D14)/D7</f>
        <v>9.9155759533118018E-2</v>
      </c>
      <c r="E13" s="87">
        <f t="shared" si="119"/>
        <v>0.10509957878378931</v>
      </c>
      <c r="F13" s="87">
        <f t="shared" si="119"/>
        <v>0.10846882957822865</v>
      </c>
      <c r="G13" s="87">
        <f t="shared" si="119"/>
        <v>0.11524193429406528</v>
      </c>
      <c r="H13" s="16">
        <v>0.125</v>
      </c>
      <c r="I13" s="16">
        <f t="shared" ref="I13:V13" si="120">H13+0.005</f>
        <v>0.13</v>
      </c>
      <c r="J13" s="16">
        <f t="shared" si="120"/>
        <v>0.13500000000000001</v>
      </c>
      <c r="K13" s="16">
        <f t="shared" si="120"/>
        <v>0.14000000000000001</v>
      </c>
      <c r="L13" s="16">
        <f t="shared" si="120"/>
        <v>0.14500000000000002</v>
      </c>
      <c r="M13" s="16">
        <f t="shared" si="120"/>
        <v>0.15000000000000002</v>
      </c>
      <c r="N13" s="16">
        <f t="shared" si="120"/>
        <v>0.15500000000000003</v>
      </c>
      <c r="O13" s="16">
        <f t="shared" si="120"/>
        <v>0.16000000000000003</v>
      </c>
      <c r="P13" s="16">
        <f t="shared" si="120"/>
        <v>0.16500000000000004</v>
      </c>
      <c r="Q13" s="16">
        <f t="shared" si="120"/>
        <v>0.17000000000000004</v>
      </c>
      <c r="R13" s="16">
        <f t="shared" si="120"/>
        <v>0.17500000000000004</v>
      </c>
      <c r="S13" s="16">
        <f t="shared" si="120"/>
        <v>0.18000000000000005</v>
      </c>
      <c r="T13" s="16">
        <f t="shared" si="120"/>
        <v>0.18500000000000005</v>
      </c>
      <c r="U13" s="16">
        <f t="shared" si="120"/>
        <v>0.19000000000000006</v>
      </c>
      <c r="V13" s="16">
        <f t="shared" si="120"/>
        <v>0.19500000000000006</v>
      </c>
      <c r="W13" s="16">
        <v>0.2</v>
      </c>
      <c r="X13" s="16">
        <f>W13</f>
        <v>0.2</v>
      </c>
      <c r="Y13" s="16">
        <f t="shared" ref="Y13:BJ13" si="121">X13</f>
        <v>0.2</v>
      </c>
      <c r="Z13" s="16">
        <f t="shared" si="121"/>
        <v>0.2</v>
      </c>
      <c r="AA13" s="16">
        <f t="shared" si="121"/>
        <v>0.2</v>
      </c>
      <c r="AB13" s="16">
        <f t="shared" si="121"/>
        <v>0.2</v>
      </c>
      <c r="AC13" s="16">
        <f t="shared" si="121"/>
        <v>0.2</v>
      </c>
      <c r="AD13" s="16">
        <f t="shared" si="121"/>
        <v>0.2</v>
      </c>
      <c r="AE13" s="16">
        <f t="shared" si="121"/>
        <v>0.2</v>
      </c>
      <c r="AF13" s="16">
        <f t="shared" si="121"/>
        <v>0.2</v>
      </c>
      <c r="AG13" s="16">
        <f t="shared" si="121"/>
        <v>0.2</v>
      </c>
      <c r="AH13" s="16">
        <f t="shared" si="121"/>
        <v>0.2</v>
      </c>
      <c r="AI13" s="16">
        <f t="shared" si="121"/>
        <v>0.2</v>
      </c>
      <c r="AJ13" s="16">
        <f t="shared" si="121"/>
        <v>0.2</v>
      </c>
      <c r="AK13" s="16">
        <f t="shared" si="121"/>
        <v>0.2</v>
      </c>
      <c r="AL13" s="16">
        <f t="shared" si="121"/>
        <v>0.2</v>
      </c>
      <c r="AM13" s="16">
        <f t="shared" si="121"/>
        <v>0.2</v>
      </c>
      <c r="AN13" s="16">
        <f t="shared" si="121"/>
        <v>0.2</v>
      </c>
      <c r="AO13" s="16">
        <f t="shared" si="121"/>
        <v>0.2</v>
      </c>
      <c r="AP13" s="16">
        <f t="shared" si="121"/>
        <v>0.2</v>
      </c>
      <c r="AQ13" s="16">
        <f t="shared" si="121"/>
        <v>0.2</v>
      </c>
      <c r="AR13" s="16">
        <f t="shared" si="121"/>
        <v>0.2</v>
      </c>
      <c r="AS13" s="16">
        <f t="shared" si="121"/>
        <v>0.2</v>
      </c>
      <c r="AT13" s="16">
        <f t="shared" si="121"/>
        <v>0.2</v>
      </c>
      <c r="AU13" s="16">
        <f t="shared" si="121"/>
        <v>0.2</v>
      </c>
      <c r="AV13" s="16">
        <f t="shared" si="121"/>
        <v>0.2</v>
      </c>
      <c r="AW13" s="16">
        <f t="shared" si="121"/>
        <v>0.2</v>
      </c>
      <c r="AX13" s="16">
        <f t="shared" si="121"/>
        <v>0.2</v>
      </c>
      <c r="AY13" s="16">
        <f t="shared" si="121"/>
        <v>0.2</v>
      </c>
      <c r="AZ13" s="16">
        <f t="shared" si="121"/>
        <v>0.2</v>
      </c>
      <c r="BA13" s="16">
        <f t="shared" si="121"/>
        <v>0.2</v>
      </c>
      <c r="BB13" s="16">
        <f t="shared" si="121"/>
        <v>0.2</v>
      </c>
      <c r="BC13" s="16">
        <f t="shared" si="121"/>
        <v>0.2</v>
      </c>
      <c r="BD13" s="16">
        <f t="shared" si="121"/>
        <v>0.2</v>
      </c>
      <c r="BE13" s="16">
        <f t="shared" si="121"/>
        <v>0.2</v>
      </c>
      <c r="BF13" s="16">
        <f t="shared" si="121"/>
        <v>0.2</v>
      </c>
      <c r="BG13" s="16">
        <f t="shared" si="121"/>
        <v>0.2</v>
      </c>
      <c r="BH13" s="16">
        <f t="shared" si="121"/>
        <v>0.2</v>
      </c>
      <c r="BI13" s="16">
        <f t="shared" si="121"/>
        <v>0.2</v>
      </c>
      <c r="BJ13" s="16">
        <f t="shared" si="121"/>
        <v>0.2</v>
      </c>
    </row>
    <row r="14" spans="1:62" s="3" customFormat="1" x14ac:dyDescent="0.2">
      <c r="B14" s="3" t="s">
        <v>18</v>
      </c>
      <c r="C14" s="88">
        <v>15.84</v>
      </c>
      <c r="D14" s="88">
        <v>23.31</v>
      </c>
      <c r="E14" s="88">
        <v>21.45</v>
      </c>
      <c r="F14" s="88">
        <v>23.01</v>
      </c>
      <c r="G14" s="88">
        <v>22.51</v>
      </c>
      <c r="H14" s="17">
        <f t="shared" ref="H14:BJ14" si="122">0.75*H9</f>
        <v>22.4925</v>
      </c>
      <c r="I14" s="17">
        <f t="shared" si="122"/>
        <v>22.4925</v>
      </c>
      <c r="J14" s="17">
        <f t="shared" si="122"/>
        <v>22.4925</v>
      </c>
      <c r="K14" s="17">
        <f t="shared" si="122"/>
        <v>22.4925</v>
      </c>
      <c r="L14" s="17">
        <f t="shared" si="122"/>
        <v>22.4925</v>
      </c>
      <c r="M14" s="17">
        <f t="shared" si="122"/>
        <v>22.4925</v>
      </c>
      <c r="N14" s="17">
        <f t="shared" si="122"/>
        <v>22.4925</v>
      </c>
      <c r="O14" s="17">
        <f t="shared" si="122"/>
        <v>22.4925</v>
      </c>
      <c r="P14" s="17">
        <f t="shared" si="122"/>
        <v>22.4925</v>
      </c>
      <c r="Q14" s="17">
        <f t="shared" si="122"/>
        <v>22.4925</v>
      </c>
      <c r="R14" s="17">
        <f t="shared" si="122"/>
        <v>22.4925</v>
      </c>
      <c r="S14" s="17">
        <f t="shared" si="122"/>
        <v>22.4925</v>
      </c>
      <c r="T14" s="17">
        <f t="shared" si="122"/>
        <v>22.4925</v>
      </c>
      <c r="U14" s="17">
        <f t="shared" si="122"/>
        <v>22.4925</v>
      </c>
      <c r="V14" s="17">
        <f t="shared" si="122"/>
        <v>22.4925</v>
      </c>
      <c r="W14" s="17">
        <f t="shared" si="122"/>
        <v>22.4925</v>
      </c>
      <c r="X14" s="17">
        <f t="shared" si="122"/>
        <v>22.4925</v>
      </c>
      <c r="Y14" s="17">
        <f t="shared" si="122"/>
        <v>22.4925</v>
      </c>
      <c r="Z14" s="17">
        <f t="shared" si="122"/>
        <v>22.4925</v>
      </c>
      <c r="AA14" s="17">
        <f t="shared" si="122"/>
        <v>22.4925</v>
      </c>
      <c r="AB14" s="17">
        <f t="shared" si="122"/>
        <v>22.4925</v>
      </c>
      <c r="AC14" s="17">
        <f t="shared" si="122"/>
        <v>22.4925</v>
      </c>
      <c r="AD14" s="17">
        <f t="shared" si="122"/>
        <v>22.4925</v>
      </c>
      <c r="AE14" s="17">
        <f t="shared" si="122"/>
        <v>22.4925</v>
      </c>
      <c r="AF14" s="17">
        <f t="shared" si="122"/>
        <v>22.4925</v>
      </c>
      <c r="AG14" s="17">
        <f t="shared" si="122"/>
        <v>22.4925</v>
      </c>
      <c r="AH14" s="17">
        <f t="shared" si="122"/>
        <v>22.4925</v>
      </c>
      <c r="AI14" s="17">
        <f t="shared" si="122"/>
        <v>22.4925</v>
      </c>
      <c r="AJ14" s="17">
        <f t="shared" si="122"/>
        <v>22.4925</v>
      </c>
      <c r="AK14" s="17">
        <f t="shared" si="122"/>
        <v>22.4925</v>
      </c>
      <c r="AL14" s="17">
        <f t="shared" si="122"/>
        <v>22.4925</v>
      </c>
      <c r="AM14" s="17">
        <f t="shared" si="122"/>
        <v>22.4925</v>
      </c>
      <c r="AN14" s="17">
        <f t="shared" si="122"/>
        <v>22.4925</v>
      </c>
      <c r="AO14" s="17">
        <f t="shared" si="122"/>
        <v>22.4925</v>
      </c>
      <c r="AP14" s="17">
        <f t="shared" si="122"/>
        <v>22.4925</v>
      </c>
      <c r="AQ14" s="17">
        <f t="shared" si="122"/>
        <v>22.4925</v>
      </c>
      <c r="AR14" s="17">
        <f t="shared" si="122"/>
        <v>22.4925</v>
      </c>
      <c r="AS14" s="17">
        <f t="shared" si="122"/>
        <v>22.4925</v>
      </c>
      <c r="AT14" s="17">
        <f t="shared" si="122"/>
        <v>22.4925</v>
      </c>
      <c r="AU14" s="17">
        <f t="shared" si="122"/>
        <v>22.4925</v>
      </c>
      <c r="AV14" s="17">
        <f t="shared" si="122"/>
        <v>22.4925</v>
      </c>
      <c r="AW14" s="17">
        <f t="shared" si="122"/>
        <v>22.4925</v>
      </c>
      <c r="AX14" s="17">
        <f t="shared" si="122"/>
        <v>22.4925</v>
      </c>
      <c r="AY14" s="17">
        <f t="shared" si="122"/>
        <v>22.4925</v>
      </c>
      <c r="AZ14" s="17">
        <f t="shared" si="122"/>
        <v>22.4925</v>
      </c>
      <c r="BA14" s="17">
        <f t="shared" si="122"/>
        <v>22.4925</v>
      </c>
      <c r="BB14" s="17">
        <f t="shared" si="122"/>
        <v>22.4925</v>
      </c>
      <c r="BC14" s="17">
        <f t="shared" si="122"/>
        <v>22.4925</v>
      </c>
      <c r="BD14" s="17">
        <f t="shared" si="122"/>
        <v>22.4925</v>
      </c>
      <c r="BE14" s="17">
        <f t="shared" si="122"/>
        <v>22.4925</v>
      </c>
      <c r="BF14" s="17">
        <f t="shared" si="122"/>
        <v>22.4925</v>
      </c>
      <c r="BG14" s="17">
        <f t="shared" si="122"/>
        <v>22.4925</v>
      </c>
      <c r="BH14" s="17">
        <f t="shared" si="122"/>
        <v>22.4925</v>
      </c>
      <c r="BI14" s="17">
        <f t="shared" si="122"/>
        <v>22.4925</v>
      </c>
      <c r="BJ14" s="17">
        <f t="shared" si="122"/>
        <v>22.4925</v>
      </c>
    </row>
    <row r="15" spans="1:62" s="20" customFormat="1" x14ac:dyDescent="0.2">
      <c r="B15" s="20" t="s">
        <v>19</v>
      </c>
      <c r="C15" s="89">
        <v>145</v>
      </c>
      <c r="D15" s="89">
        <v>245</v>
      </c>
      <c r="E15" s="89">
        <v>257</v>
      </c>
      <c r="F15" s="89">
        <v>302</v>
      </c>
      <c r="G15" s="89">
        <v>703</v>
      </c>
      <c r="H15" s="20">
        <f t="shared" ref="H15:BJ15" si="123">H14*H13*H7</f>
        <v>1163.9868750000001</v>
      </c>
      <c r="I15" s="20">
        <f t="shared" si="123"/>
        <v>1614.0617999999999</v>
      </c>
      <c r="J15" s="20">
        <f t="shared" si="123"/>
        <v>2079.9939375000004</v>
      </c>
      <c r="K15" s="20">
        <f t="shared" si="123"/>
        <v>2563.2453</v>
      </c>
      <c r="L15" s="20">
        <f t="shared" si="123"/>
        <v>3059.2049250000005</v>
      </c>
      <c r="M15" s="20">
        <f t="shared" si="123"/>
        <v>3566.1858750000006</v>
      </c>
      <c r="N15" s="20">
        <f t="shared" si="123"/>
        <v>4089.4738875000007</v>
      </c>
      <c r="O15" s="20">
        <f t="shared" si="123"/>
        <v>4624.4580000000005</v>
      </c>
      <c r="P15" s="20">
        <f t="shared" si="123"/>
        <v>5169.788662500001</v>
      </c>
      <c r="Q15" s="20">
        <f t="shared" si="123"/>
        <v>5724.1163250000018</v>
      </c>
      <c r="R15" s="20">
        <f t="shared" si="123"/>
        <v>6290.0276250000015</v>
      </c>
      <c r="S15" s="20">
        <f t="shared" si="123"/>
        <v>6862.4617500000022</v>
      </c>
      <c r="T15" s="20">
        <f t="shared" si="123"/>
        <v>7448.3913750000029</v>
      </c>
      <c r="U15" s="20">
        <f t="shared" si="123"/>
        <v>8042.8681500000021</v>
      </c>
      <c r="V15" s="20">
        <f t="shared" si="123"/>
        <v>8649.2659500000027</v>
      </c>
      <c r="W15" s="20">
        <f t="shared" si="123"/>
        <v>9266.91</v>
      </c>
      <c r="X15" s="20">
        <f t="shared" si="123"/>
        <v>9653.780999999999</v>
      </c>
      <c r="Y15" s="20">
        <f t="shared" si="123"/>
        <v>10031.655000000001</v>
      </c>
      <c r="Z15" s="20">
        <f t="shared" si="123"/>
        <v>10405.030500000001</v>
      </c>
      <c r="AA15" s="20">
        <f t="shared" si="123"/>
        <v>10769.409</v>
      </c>
      <c r="AB15" s="20">
        <f t="shared" si="123"/>
        <v>11133.7875</v>
      </c>
      <c r="AC15" s="20">
        <f t="shared" si="123"/>
        <v>11493.6675</v>
      </c>
      <c r="AD15" s="20">
        <f t="shared" si="123"/>
        <v>11853.547500000001</v>
      </c>
      <c r="AE15" s="20">
        <f t="shared" si="123"/>
        <v>12213.4275</v>
      </c>
      <c r="AF15" s="20">
        <f t="shared" si="123"/>
        <v>12573.307499999999</v>
      </c>
      <c r="AG15" s="20">
        <f t="shared" si="123"/>
        <v>12933.1875</v>
      </c>
      <c r="AH15" s="20">
        <f t="shared" si="123"/>
        <v>13297.566000000001</v>
      </c>
      <c r="AI15" s="20">
        <f t="shared" si="123"/>
        <v>13670.941499999999</v>
      </c>
      <c r="AJ15" s="20">
        <f t="shared" si="123"/>
        <v>14048.815500000001</v>
      </c>
      <c r="AK15" s="20">
        <f t="shared" si="123"/>
        <v>14435.6865</v>
      </c>
      <c r="AL15" s="20">
        <f t="shared" si="123"/>
        <v>14836.053</v>
      </c>
      <c r="AM15" s="20">
        <f t="shared" si="123"/>
        <v>15249.914999999999</v>
      </c>
      <c r="AN15" s="20">
        <f t="shared" si="123"/>
        <v>15677.272499999999</v>
      </c>
      <c r="AO15" s="20">
        <f t="shared" si="123"/>
        <v>16127.122499999999</v>
      </c>
      <c r="AP15" s="20">
        <f t="shared" si="123"/>
        <v>16599.465</v>
      </c>
      <c r="AQ15" s="20">
        <f t="shared" si="123"/>
        <v>17094.3</v>
      </c>
      <c r="AR15" s="20">
        <f t="shared" si="123"/>
        <v>17620.624499999998</v>
      </c>
      <c r="AS15" s="20">
        <f t="shared" si="123"/>
        <v>18173.939999999999</v>
      </c>
      <c r="AT15" s="20">
        <f t="shared" si="123"/>
        <v>18763.2435</v>
      </c>
      <c r="AU15" s="20">
        <f t="shared" si="123"/>
        <v>19393.033500000001</v>
      </c>
      <c r="AV15" s="20">
        <f t="shared" si="123"/>
        <v>20072.307000000001</v>
      </c>
      <c r="AW15" s="20">
        <f t="shared" si="123"/>
        <v>20801.063999999998</v>
      </c>
      <c r="AX15" s="20">
        <f t="shared" si="123"/>
        <v>21583.803</v>
      </c>
      <c r="AY15" s="20">
        <f t="shared" si="123"/>
        <v>22429.521000000001</v>
      </c>
      <c r="AZ15" s="20">
        <f t="shared" si="123"/>
        <v>23342.716499999999</v>
      </c>
      <c r="BA15" s="20">
        <f t="shared" si="123"/>
        <v>24327.887999999999</v>
      </c>
      <c r="BB15" s="20">
        <f t="shared" si="123"/>
        <v>25403.029500000001</v>
      </c>
      <c r="BC15" s="20">
        <f t="shared" si="123"/>
        <v>26568.141</v>
      </c>
      <c r="BD15" s="20">
        <f t="shared" si="123"/>
        <v>27841.216499999999</v>
      </c>
      <c r="BE15" s="20">
        <f t="shared" si="123"/>
        <v>29222.256000000001</v>
      </c>
      <c r="BF15" s="20">
        <f t="shared" si="123"/>
        <v>30733.752</v>
      </c>
      <c r="BG15" s="20">
        <f t="shared" si="123"/>
        <v>32384.701499999999</v>
      </c>
      <c r="BH15" s="20">
        <f t="shared" si="123"/>
        <v>34188.6</v>
      </c>
      <c r="BI15" s="20">
        <f t="shared" si="123"/>
        <v>36163.441500000001</v>
      </c>
      <c r="BJ15" s="20">
        <f t="shared" si="123"/>
        <v>38322.7215</v>
      </c>
    </row>
    <row r="16" spans="1:62" x14ac:dyDescent="0.2">
      <c r="C16" s="79"/>
      <c r="D16" s="79"/>
      <c r="E16" s="79"/>
      <c r="F16" s="79"/>
      <c r="G16" s="79"/>
    </row>
    <row r="17" spans="2:70" x14ac:dyDescent="0.2">
      <c r="B17" t="s">
        <v>20</v>
      </c>
      <c r="C17" s="79">
        <v>12</v>
      </c>
      <c r="D17" s="79">
        <v>17</v>
      </c>
      <c r="E17" s="79">
        <v>21</v>
      </c>
      <c r="F17" s="79">
        <v>25</v>
      </c>
      <c r="G17" s="79">
        <v>359</v>
      </c>
      <c r="H17">
        <f>ROUND('Traffic Detail'!H4*SEMToEcommerce+'Traffic Detail'!H7*FacebookToEcommerce+SUM('Traffic Detail'!H15:H16)*OrganicToEcommerceConversion,0)</f>
        <v>362</v>
      </c>
      <c r="I17">
        <f>ROUND('Traffic Detail'!I4*SEMToEcommerce+'Traffic Detail'!I7*FacebookToEcommerce+SUM('Traffic Detail'!I15:I16)*OrganicToEcommerceConversion,0)</f>
        <v>363</v>
      </c>
      <c r="J17">
        <f>ROUND('Traffic Detail'!J4*SEMToEcommerce+'Traffic Detail'!J7*FacebookToEcommerce+SUM('Traffic Detail'!J15:J16)*OrganicToEcommerceConversion,0)</f>
        <v>364</v>
      </c>
      <c r="K17">
        <f>ROUND('Traffic Detail'!K4*SEMToEcommerce+'Traffic Detail'!K7*FacebookToEcommerce+SUM('Traffic Detail'!K15:K16)*OrganicToEcommerceConversion,0)</f>
        <v>366</v>
      </c>
      <c r="L17">
        <f>ROUND('Traffic Detail'!L4*SEMToEcommerce+'Traffic Detail'!L7*FacebookToEcommerce+SUM('Traffic Detail'!L15:L16)*OrganicToEcommerceConversion,0)</f>
        <v>367</v>
      </c>
      <c r="M17">
        <f>ROUND('Traffic Detail'!M4*SEMToEcommerce+'Traffic Detail'!M7*FacebookToEcommerce+SUM('Traffic Detail'!M15:M16)*OrganicToEcommerceConversion,0)</f>
        <v>369</v>
      </c>
      <c r="N17">
        <f>ROUND('Traffic Detail'!N4*SEMToEcommerce+'Traffic Detail'!N7*FacebookToEcommerce+SUM('Traffic Detail'!N15:N16)*OrganicToEcommerceConversion,0)</f>
        <v>370</v>
      </c>
      <c r="O17">
        <f>ROUND('Traffic Detail'!O4*SEMToEcommerce+'Traffic Detail'!O7*FacebookToEcommerce+SUM('Traffic Detail'!O15:O16)*OrganicToEcommerceConversion,0)</f>
        <v>372</v>
      </c>
      <c r="P17">
        <f>ROUND('Traffic Detail'!P4*SEMToEcommerce+'Traffic Detail'!P7*FacebookToEcommerce+SUM('Traffic Detail'!P15:P16)*OrganicToEcommerceConversion,0)</f>
        <v>374</v>
      </c>
      <c r="Q17">
        <f>ROUND('Traffic Detail'!Q4*SEMToEcommerce+'Traffic Detail'!Q7*FacebookToEcommerce+SUM('Traffic Detail'!Q15:Q16)*OrganicToEcommerceConversion,0)</f>
        <v>377</v>
      </c>
      <c r="R17">
        <f>ROUND('Traffic Detail'!R4*SEMToEcommerce+'Traffic Detail'!R7*FacebookToEcommerce+SUM('Traffic Detail'!R15:R16)*OrganicToEcommerceConversion,0)</f>
        <v>379</v>
      </c>
      <c r="S17">
        <f>ROUND('Traffic Detail'!S4*SEMToEcommerce+'Traffic Detail'!S7*FacebookToEcommerce+SUM('Traffic Detail'!S15:S16)*OrganicToEcommerceConversion,0)</f>
        <v>382</v>
      </c>
      <c r="T17">
        <f>ROUND('Traffic Detail'!T4*SEMToEcommerce+'Traffic Detail'!T7*FacebookToEcommerce+SUM('Traffic Detail'!T15:T16)*OrganicToEcommerceConversion,0)</f>
        <v>384</v>
      </c>
      <c r="U17">
        <f>ROUND('Traffic Detail'!U4*SEMToEcommerce+'Traffic Detail'!U7*FacebookToEcommerce+SUM('Traffic Detail'!U15:U16)*OrganicToEcommerceConversion,0)</f>
        <v>387</v>
      </c>
      <c r="V17">
        <f>ROUND('Traffic Detail'!V4*SEMToEcommerce+'Traffic Detail'!V7*FacebookToEcommerce+SUM('Traffic Detail'!V15:V16)*OrganicToEcommerceConversion,0)</f>
        <v>391</v>
      </c>
      <c r="W17">
        <f>ROUND('Traffic Detail'!W4*SEMToEcommerce+'Traffic Detail'!W7*FacebookToEcommerce+SUM('Traffic Detail'!W15:W16)*OrganicToEcommerceConversion,0)</f>
        <v>395</v>
      </c>
      <c r="X17">
        <f>ROUND('Traffic Detail'!X4*SEMToEcommerce+'Traffic Detail'!X7*FacebookToEcommerce+SUM('Traffic Detail'!X15:X16)*OrganicToEcommerceConversion,0)</f>
        <v>399</v>
      </c>
      <c r="Y17">
        <f>ROUND('Traffic Detail'!Y4*SEMToEcommerce+'Traffic Detail'!Y7*FacebookToEcommerce+SUM('Traffic Detail'!Y15:Y16)*OrganicToEcommerceConversion,0)</f>
        <v>403</v>
      </c>
      <c r="Z17">
        <f>ROUND('Traffic Detail'!Z4*SEMToEcommerce+'Traffic Detail'!Z7*FacebookToEcommerce+SUM('Traffic Detail'!Z15:Z16)*OrganicToEcommerceConversion,0)</f>
        <v>408</v>
      </c>
      <c r="AA17">
        <f>ROUND('Traffic Detail'!AA4*SEMToEcommerce+'Traffic Detail'!AA7*FacebookToEcommerce+SUM('Traffic Detail'!AA15:AA16)*OrganicToEcommerceConversion,0)</f>
        <v>413</v>
      </c>
      <c r="AB17">
        <f>ROUND('Traffic Detail'!AB4*SEMToEcommerce+'Traffic Detail'!AB7*FacebookToEcommerce+SUM('Traffic Detail'!AB15:AB16)*OrganicToEcommerceConversion,0)</f>
        <v>419</v>
      </c>
      <c r="AC17">
        <f>ROUND('Traffic Detail'!AC4*SEMToEcommerce+'Traffic Detail'!AC7*FacebookToEcommerce+SUM('Traffic Detail'!AC15:AC16)*OrganicToEcommerceConversion,0)</f>
        <v>426</v>
      </c>
      <c r="AD17">
        <f>ROUND('Traffic Detail'!AD4*SEMToEcommerce+'Traffic Detail'!AD7*FacebookToEcommerce+SUM('Traffic Detail'!AD15:AD16)*OrganicToEcommerceConversion,0)</f>
        <v>433</v>
      </c>
      <c r="AE17">
        <f>ROUND('Traffic Detail'!AE4*SEMToEcommerce+'Traffic Detail'!AE7*FacebookToEcommerce+SUM('Traffic Detail'!AE15:AE16)*OrganicToEcommerceConversion,0)</f>
        <v>441</v>
      </c>
      <c r="AF17">
        <f>ROUND('Traffic Detail'!AF4*SEMToEcommerce+'Traffic Detail'!AF7*FacebookToEcommerce+SUM('Traffic Detail'!AF15:AF16)*OrganicToEcommerceConversion,0)</f>
        <v>449</v>
      </c>
      <c r="AG17">
        <f>ROUND('Traffic Detail'!AG4*SEMToEcommerce+'Traffic Detail'!AG7*FacebookToEcommerce+SUM('Traffic Detail'!AG15:AG16)*OrganicToEcommerceConversion,0)</f>
        <v>459</v>
      </c>
      <c r="AH17">
        <f>ROUND('Traffic Detail'!AH4*SEMToEcommerce+'Traffic Detail'!AH7*FacebookToEcommerce+SUM('Traffic Detail'!AH15:AH16)*OrganicToEcommerceConversion,0)</f>
        <v>469</v>
      </c>
      <c r="AI17">
        <f>ROUND('Traffic Detail'!AI4*SEMToEcommerce+'Traffic Detail'!AI7*FacebookToEcommerce+SUM('Traffic Detail'!AI15:AI16)*OrganicToEcommerceConversion,0)</f>
        <v>480</v>
      </c>
      <c r="AJ17">
        <f>ROUND('Traffic Detail'!AJ4*SEMToEcommerce+'Traffic Detail'!AJ7*FacebookToEcommerce+SUM('Traffic Detail'!AJ15:AJ16)*OrganicToEcommerceConversion,0)</f>
        <v>493</v>
      </c>
      <c r="AK17">
        <f>ROUND('Traffic Detail'!AK4*SEMToEcommerce+'Traffic Detail'!AK7*FacebookToEcommerce+SUM('Traffic Detail'!AK15:AK16)*OrganicToEcommerceConversion,0)</f>
        <v>506</v>
      </c>
      <c r="AL17">
        <f>ROUND('Traffic Detail'!AL4*SEMToEcommerce+'Traffic Detail'!AL7*FacebookToEcommerce+SUM('Traffic Detail'!AL15:AL16)*OrganicToEcommerceConversion,0)</f>
        <v>521</v>
      </c>
      <c r="AM17">
        <f>ROUND('Traffic Detail'!AM4*SEMToEcommerce+'Traffic Detail'!AM7*FacebookToEcommerce+SUM('Traffic Detail'!AM15:AM16)*OrganicToEcommerceConversion,0)</f>
        <v>538</v>
      </c>
      <c r="AN17">
        <f>ROUND('Traffic Detail'!AN4*SEMToEcommerce+'Traffic Detail'!AN7*FacebookToEcommerce+SUM('Traffic Detail'!AN15:AN16)*OrganicToEcommerceConversion,0)</f>
        <v>556</v>
      </c>
      <c r="AO17">
        <f>ROUND('Traffic Detail'!AO4*SEMToEcommerce+'Traffic Detail'!AO7*FacebookToEcommerce+SUM('Traffic Detail'!AO15:AO16)*OrganicToEcommerceConversion,0)</f>
        <v>576</v>
      </c>
      <c r="AP17">
        <f>ROUND('Traffic Detail'!AP4*SEMToEcommerce+'Traffic Detail'!AP7*FacebookToEcommerce+SUM('Traffic Detail'!AP15:AP16)*OrganicToEcommerceConversion,0)</f>
        <v>598</v>
      </c>
      <c r="AQ17">
        <f>ROUND('Traffic Detail'!AQ4*SEMToEcommerce+'Traffic Detail'!AQ7*FacebookToEcommerce+SUM('Traffic Detail'!AQ15:AQ16)*OrganicToEcommerceConversion,0)</f>
        <v>622</v>
      </c>
      <c r="AR17">
        <f>ROUND('Traffic Detail'!AR4*SEMToEcommerce+'Traffic Detail'!AR7*FacebookToEcommerce+SUM('Traffic Detail'!AR15:AR16)*OrganicToEcommerceConversion,0)</f>
        <v>649</v>
      </c>
      <c r="AS17">
        <f>ROUND('Traffic Detail'!AS4*SEMToEcommerce+'Traffic Detail'!AS7*FacebookToEcommerce+SUM('Traffic Detail'!AS15:AS16)*OrganicToEcommerceConversion,0)</f>
        <v>678</v>
      </c>
      <c r="AT17">
        <f>ROUND('Traffic Detail'!AT4*SEMToEcommerce+'Traffic Detail'!AT7*FacebookToEcommerce+SUM('Traffic Detail'!AT15:AT16)*OrganicToEcommerceConversion,0)</f>
        <v>711</v>
      </c>
      <c r="AU17">
        <f>ROUND('Traffic Detail'!AU4*SEMToEcommerce+'Traffic Detail'!AU7*FacebookToEcommerce+SUM('Traffic Detail'!AU15:AU16)*OrganicToEcommerceConversion,0)</f>
        <v>746</v>
      </c>
      <c r="AV17">
        <f>ROUND('Traffic Detail'!AV4*SEMToEcommerce+'Traffic Detail'!AV7*FacebookToEcommerce+SUM('Traffic Detail'!AV15:AV16)*OrganicToEcommerceConversion,0)</f>
        <v>785</v>
      </c>
      <c r="AW17">
        <f>ROUND('Traffic Detail'!AW4*SEMToEcommerce+'Traffic Detail'!AW7*FacebookToEcommerce+SUM('Traffic Detail'!AW15:AW16)*OrganicToEcommerceConversion,0)</f>
        <v>828</v>
      </c>
      <c r="AX17">
        <f>ROUND('Traffic Detail'!AX4*SEMToEcommerce+'Traffic Detail'!AX7*FacebookToEcommerce+SUM('Traffic Detail'!AX15:AX16)*OrganicToEcommerceConversion,0)</f>
        <v>875</v>
      </c>
      <c r="AY17">
        <f>ROUND('Traffic Detail'!AY4*SEMToEcommerce+'Traffic Detail'!AY7*FacebookToEcommerce+SUM('Traffic Detail'!AY15:AY16)*OrganicToEcommerceConversion,0)</f>
        <v>927</v>
      </c>
      <c r="AZ17">
        <f>ROUND('Traffic Detail'!AZ4*SEMToEcommerce+'Traffic Detail'!AZ7*FacebookToEcommerce+SUM('Traffic Detail'!AZ15:AZ16)*OrganicToEcommerceConversion,0)</f>
        <v>984</v>
      </c>
      <c r="BA17">
        <f>ROUND('Traffic Detail'!BA4*SEMToEcommerce+'Traffic Detail'!BA7*FacebookToEcommerce+SUM('Traffic Detail'!BA15:BA16)*OrganicToEcommerceConversion,0)</f>
        <v>1046</v>
      </c>
      <c r="BB17">
        <f>ROUND('Traffic Detail'!BB4*SEMToEcommerce+'Traffic Detail'!BB7*FacebookToEcommerce+SUM('Traffic Detail'!BB15:BB16)*OrganicToEcommerceConversion,0)</f>
        <v>1115</v>
      </c>
      <c r="BC17">
        <f>ROUND('Traffic Detail'!BC4*SEMToEcommerce+'Traffic Detail'!BC7*FacebookToEcommerce+SUM('Traffic Detail'!BC15:BC16)*OrganicToEcommerceConversion,0)</f>
        <v>1191</v>
      </c>
      <c r="BD17">
        <f>ROUND('Traffic Detail'!BD4*SEMToEcommerce+'Traffic Detail'!BD7*FacebookToEcommerce+SUM('Traffic Detail'!BD15:BD16)*OrganicToEcommerceConversion,0)</f>
        <v>1274</v>
      </c>
      <c r="BE17">
        <f>ROUND('Traffic Detail'!BE4*SEMToEcommerce+'Traffic Detail'!BE7*FacebookToEcommerce+SUM('Traffic Detail'!BE15:BE16)*OrganicToEcommerceConversion,0)</f>
        <v>1366</v>
      </c>
      <c r="BF17">
        <f>ROUND('Traffic Detail'!BF4*SEMToEcommerce+'Traffic Detail'!BF7*FacebookToEcommerce+SUM('Traffic Detail'!BF15:BF16)*OrganicToEcommerceConversion,0)</f>
        <v>1467</v>
      </c>
      <c r="BG17">
        <f>ROUND('Traffic Detail'!BG4*SEMToEcommerce+'Traffic Detail'!BG7*FacebookToEcommerce+SUM('Traffic Detail'!BG15:BG16)*OrganicToEcommerceConversion,0)</f>
        <v>1578</v>
      </c>
      <c r="BH17">
        <f>ROUND('Traffic Detail'!BH4*SEMToEcommerce+'Traffic Detail'!BH7*FacebookToEcommerce+SUM('Traffic Detail'!BH15:BH16)*OrganicToEcommerceConversion,0)</f>
        <v>1700</v>
      </c>
      <c r="BI17">
        <f>ROUND('Traffic Detail'!BI4*SEMToEcommerce+'Traffic Detail'!BI7*FacebookToEcommerce+SUM('Traffic Detail'!BI15:BI16)*OrganicToEcommerceConversion,0)</f>
        <v>1834</v>
      </c>
      <c r="BJ17">
        <f>ROUND('Traffic Detail'!BJ4*SEMToEcommerce+'Traffic Detail'!BJ7*FacebookToEcommerce+SUM('Traffic Detail'!BJ15:BJ16)*OrganicToEcommerceConversion,0)</f>
        <v>1982</v>
      </c>
    </row>
    <row r="18" spans="2:70" s="3" customFormat="1" x14ac:dyDescent="0.2">
      <c r="B18" s="3" t="s">
        <v>21</v>
      </c>
      <c r="C18" s="90">
        <v>34.01</v>
      </c>
      <c r="D18" s="88">
        <v>30.32</v>
      </c>
      <c r="E18" s="88">
        <v>32.119999999999997</v>
      </c>
      <c r="F18" s="88">
        <v>39.270000000000003</v>
      </c>
      <c r="G18" s="88">
        <v>37.89</v>
      </c>
      <c r="H18" s="17">
        <f t="shared" ref="H18:BJ18" si="124">G18*1.02</f>
        <v>38.647800000000004</v>
      </c>
      <c r="I18" s="17">
        <f t="shared" si="124"/>
        <v>39.420756000000004</v>
      </c>
      <c r="J18" s="17">
        <f t="shared" si="124"/>
        <v>40.209171120000008</v>
      </c>
      <c r="K18" s="17">
        <f t="shared" si="124"/>
        <v>41.013354542400009</v>
      </c>
      <c r="L18" s="17">
        <f t="shared" si="124"/>
        <v>41.833621633248008</v>
      </c>
      <c r="M18" s="17">
        <f t="shared" si="124"/>
        <v>42.670294065912969</v>
      </c>
      <c r="N18" s="17">
        <f t="shared" si="124"/>
        <v>43.523699947231229</v>
      </c>
      <c r="O18" s="17">
        <f t="shared" si="124"/>
        <v>44.394173946175854</v>
      </c>
      <c r="P18" s="17">
        <f t="shared" si="124"/>
        <v>45.282057425099374</v>
      </c>
      <c r="Q18" s="17">
        <f t="shared" si="124"/>
        <v>46.187698573601359</v>
      </c>
      <c r="R18" s="17">
        <f t="shared" si="124"/>
        <v>47.111452545073391</v>
      </c>
      <c r="S18" s="17">
        <f t="shared" si="124"/>
        <v>48.053681595974858</v>
      </c>
      <c r="T18" s="17">
        <f t="shared" si="124"/>
        <v>49.014755227894355</v>
      </c>
      <c r="U18" s="17">
        <f t="shared" si="124"/>
        <v>49.995050332452244</v>
      </c>
      <c r="V18" s="17">
        <f t="shared" si="124"/>
        <v>50.994951339101291</v>
      </c>
      <c r="W18" s="17">
        <f t="shared" si="124"/>
        <v>52.014850365883319</v>
      </c>
      <c r="X18" s="17">
        <f t="shared" si="124"/>
        <v>53.055147373200988</v>
      </c>
      <c r="Y18" s="17">
        <f t="shared" si="124"/>
        <v>54.11625032066501</v>
      </c>
      <c r="Z18" s="17">
        <f t="shared" si="124"/>
        <v>55.198575327078309</v>
      </c>
      <c r="AA18" s="17">
        <f t="shared" si="124"/>
        <v>56.302546833619878</v>
      </c>
      <c r="AB18" s="17">
        <f t="shared" si="124"/>
        <v>57.428597770292278</v>
      </c>
      <c r="AC18" s="17">
        <f t="shared" si="124"/>
        <v>58.577169725698127</v>
      </c>
      <c r="AD18" s="17">
        <f t="shared" si="124"/>
        <v>59.748713120212088</v>
      </c>
      <c r="AE18" s="17">
        <f t="shared" si="124"/>
        <v>60.943687382616332</v>
      </c>
      <c r="AF18" s="17">
        <f t="shared" si="124"/>
        <v>62.162561130268656</v>
      </c>
      <c r="AG18" s="17">
        <f t="shared" si="124"/>
        <v>63.40581235287403</v>
      </c>
      <c r="AH18" s="17">
        <f t="shared" si="124"/>
        <v>64.673928599931514</v>
      </c>
      <c r="AI18" s="17">
        <f t="shared" si="124"/>
        <v>65.967407171930148</v>
      </c>
      <c r="AJ18" s="17">
        <f t="shared" si="124"/>
        <v>67.286755315368751</v>
      </c>
      <c r="AK18" s="17">
        <f t="shared" si="124"/>
        <v>68.632490421676124</v>
      </c>
      <c r="AL18" s="17">
        <f t="shared" si="124"/>
        <v>70.005140230109646</v>
      </c>
      <c r="AM18" s="17">
        <f t="shared" si="124"/>
        <v>71.405243034711845</v>
      </c>
      <c r="AN18" s="17">
        <f t="shared" si="124"/>
        <v>72.833347895406078</v>
      </c>
      <c r="AO18" s="17">
        <f t="shared" si="124"/>
        <v>74.290014853314204</v>
      </c>
      <c r="AP18" s="17">
        <f t="shared" si="124"/>
        <v>75.775815150380495</v>
      </c>
      <c r="AQ18" s="17">
        <f t="shared" si="124"/>
        <v>77.291331453388111</v>
      </c>
      <c r="AR18" s="17">
        <f t="shared" si="124"/>
        <v>78.837158082455872</v>
      </c>
      <c r="AS18" s="17">
        <f t="shared" si="124"/>
        <v>80.413901244104991</v>
      </c>
      <c r="AT18" s="17">
        <f t="shared" si="124"/>
        <v>82.022179268987088</v>
      </c>
      <c r="AU18" s="17">
        <f t="shared" si="124"/>
        <v>83.66262285436683</v>
      </c>
      <c r="AV18" s="17">
        <f t="shared" si="124"/>
        <v>85.335875311454174</v>
      </c>
      <c r="AW18" s="17">
        <f t="shared" si="124"/>
        <v>87.042592817683257</v>
      </c>
      <c r="AX18" s="17">
        <f t="shared" si="124"/>
        <v>88.783444674036929</v>
      </c>
      <c r="AY18" s="17">
        <f t="shared" si="124"/>
        <v>90.55911356751767</v>
      </c>
      <c r="AZ18" s="17">
        <f t="shared" si="124"/>
        <v>92.370295838868032</v>
      </c>
      <c r="BA18" s="17">
        <f t="shared" si="124"/>
        <v>94.217701755645393</v>
      </c>
      <c r="BB18" s="17">
        <f t="shared" si="124"/>
        <v>96.1020557907583</v>
      </c>
      <c r="BC18" s="17">
        <f t="shared" si="124"/>
        <v>98.024096906573462</v>
      </c>
      <c r="BD18" s="17">
        <f t="shared" si="124"/>
        <v>99.984578844704927</v>
      </c>
      <c r="BE18" s="17">
        <f t="shared" si="124"/>
        <v>101.98427042159902</v>
      </c>
      <c r="BF18" s="17">
        <f t="shared" si="124"/>
        <v>104.023955830031</v>
      </c>
      <c r="BG18" s="17">
        <f t="shared" si="124"/>
        <v>106.10443494663163</v>
      </c>
      <c r="BH18" s="17">
        <f t="shared" si="124"/>
        <v>108.22652364556426</v>
      </c>
      <c r="BI18" s="17">
        <f t="shared" si="124"/>
        <v>110.39105411847554</v>
      </c>
      <c r="BJ18" s="17">
        <f t="shared" si="124"/>
        <v>112.59887520084504</v>
      </c>
      <c r="BK18" s="17"/>
      <c r="BL18" s="17"/>
      <c r="BM18" s="17"/>
      <c r="BN18" s="17"/>
      <c r="BO18" s="17"/>
      <c r="BP18" s="17"/>
      <c r="BQ18" s="17"/>
      <c r="BR18" s="17"/>
    </row>
    <row r="19" spans="2:70" s="20" customFormat="1" x14ac:dyDescent="0.2">
      <c r="B19" s="20" t="s">
        <v>22</v>
      </c>
      <c r="C19" s="89">
        <f>C17*C18</f>
        <v>408.12</v>
      </c>
      <c r="D19" s="89">
        <f>D17*D18</f>
        <v>515.44000000000005</v>
      </c>
      <c r="E19" s="89">
        <f t="shared" ref="E19:BJ19" si="125">E17*E18</f>
        <v>674.52</v>
      </c>
      <c r="F19" s="89">
        <f t="shared" si="125"/>
        <v>981.75000000000011</v>
      </c>
      <c r="G19" s="89">
        <f t="shared" si="125"/>
        <v>13602.51</v>
      </c>
      <c r="H19" s="20">
        <f t="shared" si="125"/>
        <v>13990.503600000002</v>
      </c>
      <c r="I19" s="20">
        <f t="shared" si="125"/>
        <v>14309.734428000002</v>
      </c>
      <c r="J19" s="20">
        <f t="shared" si="125"/>
        <v>14636.138287680003</v>
      </c>
      <c r="K19" s="20">
        <f t="shared" si="125"/>
        <v>15010.887762518403</v>
      </c>
      <c r="L19" s="20">
        <f t="shared" si="125"/>
        <v>15352.939139402019</v>
      </c>
      <c r="M19" s="20">
        <f t="shared" si="125"/>
        <v>15745.338510321886</v>
      </c>
      <c r="N19" s="20">
        <f t="shared" si="125"/>
        <v>16103.768980475556</v>
      </c>
      <c r="O19" s="20">
        <f t="shared" si="125"/>
        <v>16514.632707977416</v>
      </c>
      <c r="P19" s="20">
        <f t="shared" si="125"/>
        <v>16935.489476987164</v>
      </c>
      <c r="Q19" s="20">
        <f t="shared" si="125"/>
        <v>17412.762362247711</v>
      </c>
      <c r="R19" s="20">
        <f t="shared" si="125"/>
        <v>17855.240514582816</v>
      </c>
      <c r="S19" s="20">
        <f t="shared" si="125"/>
        <v>18356.506369662395</v>
      </c>
      <c r="T19" s="20">
        <f t="shared" si="125"/>
        <v>18821.666007511434</v>
      </c>
      <c r="U19" s="20">
        <f t="shared" si="125"/>
        <v>19348.084478659017</v>
      </c>
      <c r="V19" s="20">
        <f t="shared" si="125"/>
        <v>19939.025973588607</v>
      </c>
      <c r="W19" s="20">
        <f t="shared" si="125"/>
        <v>20545.865894523911</v>
      </c>
      <c r="X19" s="20">
        <f t="shared" si="125"/>
        <v>21169.003801907194</v>
      </c>
      <c r="Y19" s="20">
        <f t="shared" si="125"/>
        <v>21808.848879228</v>
      </c>
      <c r="Z19" s="20">
        <f t="shared" si="125"/>
        <v>22521.018733447949</v>
      </c>
      <c r="AA19" s="20">
        <f t="shared" si="125"/>
        <v>23252.951842285009</v>
      </c>
      <c r="AB19" s="20">
        <f t="shared" si="125"/>
        <v>24062.582465752464</v>
      </c>
      <c r="AC19" s="20">
        <f t="shared" si="125"/>
        <v>24953.8743031474</v>
      </c>
      <c r="AD19" s="20">
        <f t="shared" si="125"/>
        <v>25871.192781051835</v>
      </c>
      <c r="AE19" s="20">
        <f t="shared" si="125"/>
        <v>26876.166135733802</v>
      </c>
      <c r="AF19" s="20">
        <f t="shared" si="125"/>
        <v>27910.989947490627</v>
      </c>
      <c r="AG19" s="20">
        <f t="shared" si="125"/>
        <v>29103.267869969179</v>
      </c>
      <c r="AH19" s="20">
        <f t="shared" si="125"/>
        <v>30332.072513367879</v>
      </c>
      <c r="AI19" s="20">
        <f t="shared" si="125"/>
        <v>31664.35544252647</v>
      </c>
      <c r="AJ19" s="20">
        <f t="shared" si="125"/>
        <v>33172.370370476798</v>
      </c>
      <c r="AK19" s="20">
        <f t="shared" si="125"/>
        <v>34728.040153368122</v>
      </c>
      <c r="AL19" s="20">
        <f t="shared" si="125"/>
        <v>36472.678059887126</v>
      </c>
      <c r="AM19" s="20">
        <f t="shared" si="125"/>
        <v>38416.020752674973</v>
      </c>
      <c r="AN19" s="20">
        <f t="shared" si="125"/>
        <v>40495.341429845779</v>
      </c>
      <c r="AO19" s="20">
        <f t="shared" si="125"/>
        <v>42791.048555508984</v>
      </c>
      <c r="AP19" s="20">
        <f t="shared" si="125"/>
        <v>45313.93745992754</v>
      </c>
      <c r="AQ19" s="20">
        <f t="shared" si="125"/>
        <v>48075.208164007403</v>
      </c>
      <c r="AR19" s="20">
        <f t="shared" si="125"/>
        <v>51165.315595513865</v>
      </c>
      <c r="AS19" s="20">
        <f t="shared" si="125"/>
        <v>54520.625043503183</v>
      </c>
      <c r="AT19" s="20">
        <f t="shared" si="125"/>
        <v>58317.769460249823</v>
      </c>
      <c r="AU19" s="20">
        <f t="shared" si="125"/>
        <v>62412.316649357657</v>
      </c>
      <c r="AV19" s="20">
        <f t="shared" si="125"/>
        <v>66988.662119491521</v>
      </c>
      <c r="AW19" s="20">
        <f t="shared" si="125"/>
        <v>72071.266853041743</v>
      </c>
      <c r="AX19" s="20">
        <f t="shared" si="125"/>
        <v>77685.514089782315</v>
      </c>
      <c r="AY19" s="20">
        <f t="shared" si="125"/>
        <v>83948.298277088878</v>
      </c>
      <c r="AZ19" s="20">
        <f t="shared" si="125"/>
        <v>90892.371105446146</v>
      </c>
      <c r="BA19" s="20">
        <f t="shared" si="125"/>
        <v>98551.71603640508</v>
      </c>
      <c r="BB19" s="20">
        <f t="shared" si="125"/>
        <v>107153.79220669551</v>
      </c>
      <c r="BC19" s="20">
        <f t="shared" si="125"/>
        <v>116746.69941572899</v>
      </c>
      <c r="BD19" s="20">
        <f t="shared" si="125"/>
        <v>127380.35344815408</v>
      </c>
      <c r="BE19" s="20">
        <f t="shared" si="125"/>
        <v>139310.51339590427</v>
      </c>
      <c r="BF19" s="20">
        <f t="shared" si="125"/>
        <v>152603.14320265548</v>
      </c>
      <c r="BG19" s="20">
        <f t="shared" si="125"/>
        <v>167432.79834578471</v>
      </c>
      <c r="BH19" s="20">
        <f t="shared" si="125"/>
        <v>183985.09019745924</v>
      </c>
      <c r="BI19" s="20">
        <f t="shared" si="125"/>
        <v>202457.19325328415</v>
      </c>
      <c r="BJ19" s="20">
        <f t="shared" si="125"/>
        <v>223170.97064807487</v>
      </c>
    </row>
    <row r="20" spans="2:70" x14ac:dyDescent="0.2">
      <c r="C20" s="79"/>
      <c r="D20" s="79"/>
      <c r="E20" s="79"/>
      <c r="F20" s="79"/>
      <c r="G20" s="79"/>
    </row>
    <row r="21" spans="2:70" x14ac:dyDescent="0.2">
      <c r="C21" s="79"/>
      <c r="D21" s="79"/>
      <c r="E21" s="79"/>
      <c r="F21" s="79"/>
      <c r="G21" s="79"/>
    </row>
    <row r="22" spans="2:70" x14ac:dyDescent="0.2">
      <c r="B22" t="s">
        <v>23</v>
      </c>
      <c r="C22" s="78">
        <v>4702</v>
      </c>
      <c r="D22" s="78">
        <v>7034</v>
      </c>
      <c r="E22" s="78">
        <v>8438</v>
      </c>
      <c r="F22" s="78">
        <v>9621</v>
      </c>
      <c r="G22" s="78">
        <v>54892</v>
      </c>
      <c r="H22" s="1">
        <f>PagesPerVisit*'Traffic Detail'!H18</f>
        <v>54611.019051051058</v>
      </c>
      <c r="I22" s="1">
        <f>PagesPerVisit*'Traffic Detail'!I18</f>
        <v>55434.680351051051</v>
      </c>
      <c r="J22" s="1">
        <f>PagesPerVisit*'Traffic Detail'!J18</f>
        <v>56318.416281051053</v>
      </c>
      <c r="K22" s="1">
        <f>PagesPerVisit*'Traffic Detail'!K18</f>
        <v>57268.811804051053</v>
      </c>
      <c r="L22" s="1">
        <f>PagesPerVisit*'Traffic Detail'!L18</f>
        <v>58294.265379351054</v>
      </c>
      <c r="M22" s="1">
        <f>PagesPerVisit*'Traffic Detail'!M18</f>
        <v>59401.589812181053</v>
      </c>
      <c r="N22" s="1">
        <f>PagesPerVisit*'Traffic Detail'!N18</f>
        <v>60599.549688294057</v>
      </c>
      <c r="O22" s="1">
        <f>PagesPerVisit*'Traffic Detail'!O18</f>
        <v>61900.096052018358</v>
      </c>
      <c r="P22" s="1">
        <f>PagesPerVisit*'Traffic Detail'!P18</f>
        <v>63312.679052115091</v>
      </c>
      <c r="Q22" s="1">
        <f>PagesPerVisit*'Traffic Detail'!Q18</f>
        <v>64848.96435222149</v>
      </c>
      <c r="R22" s="1">
        <f>PagesPerVisit*'Traffic Detail'!R18</f>
        <v>66521.784182338539</v>
      </c>
      <c r="S22" s="1">
        <f>PagesPerVisit*'Traffic Detail'!S18</f>
        <v>68346.408995467282</v>
      </c>
      <c r="T22" s="1">
        <f>PagesPerVisit*'Traffic Detail'!T18</f>
        <v>70337.210789908917</v>
      </c>
      <c r="U22" s="1">
        <f>PagesPerVisit*'Traffic Detail'!U18</f>
        <v>72513.579263794702</v>
      </c>
      <c r="V22" s="1">
        <f>PagesPerVisit*'Traffic Detail'!V18</f>
        <v>74893.147085069097</v>
      </c>
      <c r="W22" s="1">
        <f>PagesPerVisit*'Traffic Detail'!W18</f>
        <v>77497.735688470872</v>
      </c>
      <c r="X22" s="1">
        <f>PagesPerVisit*'Traffic Detail'!X18</f>
        <v>80350.078152212882</v>
      </c>
      <c r="Y22" s="1">
        <f>PagesPerVisit*'Traffic Detail'!Y18</f>
        <v>83475.180862329056</v>
      </c>
      <c r="Z22" s="1">
        <f>PagesPerVisit*'Traffic Detail'!Z18</f>
        <v>86900.550843456847</v>
      </c>
      <c r="AA22" s="1">
        <f>PagesPerVisit*'Traffic Detail'!AA18</f>
        <v>90657.600822697452</v>
      </c>
      <c r="AB22" s="1">
        <f>PagesPerVisit*'Traffic Detail'!AB18</f>
        <v>94778.459299862094</v>
      </c>
      <c r="AC22" s="1">
        <f>PagesPerVisit*'Traffic Detail'!AC18</f>
        <v>99302.048124743189</v>
      </c>
      <c r="AD22" s="1">
        <f>PagesPerVisit*'Traffic Detail'!AD18</f>
        <v>104267.48533211241</v>
      </c>
      <c r="AE22" s="1">
        <f>PagesPerVisit*'Traffic Detail'!AE18</f>
        <v>109720.22626021855</v>
      </c>
      <c r="AF22" s="1">
        <f>PagesPerVisit*'Traffic Detail'!AF18</f>
        <v>115709.00128113531</v>
      </c>
      <c r="AG22" s="1">
        <f>PagesPerVisit*'Traffic Detail'!AG18</f>
        <v>122287.41380414375</v>
      </c>
      <c r="AH22" s="1">
        <f>PagesPerVisit*'Traffic Detail'!AH18</f>
        <v>129514.42757945303</v>
      </c>
      <c r="AI22" s="1">
        <f>PagesPerVisit*'Traffic Detail'!AI18</f>
        <v>137456.05773229321</v>
      </c>
      <c r="AJ22" s="1">
        <f>PagesPerVisit*'Traffic Detail'!AJ18</f>
        <v>146184.80540041742</v>
      </c>
      <c r="AK22" s="1">
        <f>PagesPerVisit*'Traffic Detail'!AK18</f>
        <v>155777.99633535408</v>
      </c>
      <c r="AL22" s="1">
        <f>PagesPerVisit*'Traffic Detail'!AL18</f>
        <v>166323.11436378441</v>
      </c>
      <c r="AM22" s="1">
        <f>PagesPerVisit*'Traffic Detail'!AM18</f>
        <v>177916.27619505776</v>
      </c>
      <c r="AN22" s="1">
        <f>PagesPerVisit*'Traffic Detail'!AN18</f>
        <v>190661.93970945844</v>
      </c>
      <c r="AO22" s="1">
        <f>PagesPerVisit*'Traffic Detail'!AO18</f>
        <v>204675.00857529914</v>
      </c>
      <c r="AP22" s="1">
        <f>PagesPerVisit*'Traffic Detail'!AP18</f>
        <v>220084.18682772398</v>
      </c>
      <c r="AQ22" s="1">
        <f>PagesPerVisit*'Traffic Detail'!AQ18</f>
        <v>237028.50790539131</v>
      </c>
      <c r="AR22" s="1">
        <f>PagesPerVisit*'Traffic Detail'!AR18</f>
        <v>255660.9085908253</v>
      </c>
      <c r="AS22" s="1">
        <f>PagesPerVisit*'Traffic Detail'!AS18</f>
        <v>276151.92934480269</v>
      </c>
      <c r="AT22" s="1">
        <f>PagesPerVisit*'Traffic Detail'!AT18</f>
        <v>298685.46867417789</v>
      </c>
      <c r="AU22" s="1">
        <f>PagesPerVisit*'Traffic Detail'!AU18</f>
        <v>323467.39543649065</v>
      </c>
      <c r="AV22" s="1">
        <f>PagesPerVisit*'Traffic Detail'!AV18</f>
        <v>350722.77937503462</v>
      </c>
      <c r="AW22" s="1">
        <f>PagesPerVisit*'Traffic Detail'!AW18</f>
        <v>380700.23670743301</v>
      </c>
      <c r="AX22" s="1">
        <f>PagesPerVisit*'Traffic Detail'!AX18</f>
        <v>413670.7042730712</v>
      </c>
      <c r="AY22" s="1">
        <f>PagesPerVisit*'Traffic Detail'!AY18</f>
        <v>449933.3675952733</v>
      </c>
      <c r="AZ22" s="1">
        <f>PagesPerVisit*'Traffic Detail'!AZ18</f>
        <v>489818.37024969561</v>
      </c>
      <c r="BA22" s="1">
        <f>PagesPerVisit*'Traffic Detail'!BA18</f>
        <v>533687.48416956014</v>
      </c>
      <c r="BB22" s="1">
        <f>PagesPerVisit*'Traffic Detail'!BB18</f>
        <v>581938.54298141098</v>
      </c>
      <c r="BC22" s="1">
        <f>PagesPerVisit*'Traffic Detail'!BC18</f>
        <v>635012.513174447</v>
      </c>
      <c r="BD22" s="1">
        <f>PagesPerVisit*'Traffic Detail'!BD18</f>
        <v>693389.37588678661</v>
      </c>
      <c r="BE22" s="1">
        <f>PagesPerVisit*'Traffic Detail'!BE18</f>
        <v>757601.73037036008</v>
      </c>
      <c r="BF22" s="1">
        <f>PagesPerVisit*'Traffic Detail'!BF18</f>
        <v>828230.35380229121</v>
      </c>
      <c r="BG22" s="1">
        <f>PagesPerVisit*'Traffic Detail'!BG18</f>
        <v>905919.87607741531</v>
      </c>
      <c r="BH22" s="1">
        <f>PagesPerVisit*'Traffic Detail'!BH18</f>
        <v>991375.34758005175</v>
      </c>
      <c r="BI22" s="1">
        <f>PagesPerVisit*'Traffic Detail'!BI18</f>
        <v>1085373.2477329518</v>
      </c>
      <c r="BJ22" s="1">
        <f>PagesPerVisit*'Traffic Detail'!BJ18</f>
        <v>1188768.5124011419</v>
      </c>
    </row>
    <row r="23" spans="2:70" s="3" customFormat="1" x14ac:dyDescent="0.2">
      <c r="B23" s="3" t="s">
        <v>34</v>
      </c>
      <c r="C23" s="79">
        <v>0.55000000000000004</v>
      </c>
      <c r="D23" s="79">
        <v>0.52</v>
      </c>
      <c r="E23" s="79">
        <v>0.61</v>
      </c>
      <c r="F23" s="79">
        <v>0.68</v>
      </c>
      <c r="G23" s="79">
        <v>0.8</v>
      </c>
      <c r="H23" s="3">
        <f t="shared" ref="H23:R23" si="126">G23+0.1</f>
        <v>0.9</v>
      </c>
      <c r="I23" s="3">
        <f t="shared" si="126"/>
        <v>1</v>
      </c>
      <c r="J23" s="3">
        <f t="shared" si="126"/>
        <v>1.1000000000000001</v>
      </c>
      <c r="K23" s="3">
        <f t="shared" si="126"/>
        <v>1.2000000000000002</v>
      </c>
      <c r="L23" s="3">
        <f t="shared" si="126"/>
        <v>1.3000000000000003</v>
      </c>
      <c r="M23" s="3">
        <f t="shared" si="126"/>
        <v>1.4000000000000004</v>
      </c>
      <c r="N23" s="3">
        <f t="shared" si="126"/>
        <v>1.5000000000000004</v>
      </c>
      <c r="O23" s="3">
        <f t="shared" si="126"/>
        <v>1.6000000000000005</v>
      </c>
      <c r="P23" s="3">
        <f t="shared" si="126"/>
        <v>1.7000000000000006</v>
      </c>
      <c r="Q23" s="3">
        <f t="shared" si="126"/>
        <v>1.8000000000000007</v>
      </c>
      <c r="R23" s="3">
        <f t="shared" si="126"/>
        <v>1.9000000000000008</v>
      </c>
      <c r="S23" s="3">
        <f>R23</f>
        <v>1.9000000000000008</v>
      </c>
      <c r="T23" s="3">
        <f t="shared" ref="T23:BJ23" si="127">S23</f>
        <v>1.9000000000000008</v>
      </c>
      <c r="U23" s="3">
        <f t="shared" si="127"/>
        <v>1.9000000000000008</v>
      </c>
      <c r="V23" s="3">
        <f t="shared" si="127"/>
        <v>1.9000000000000008</v>
      </c>
      <c r="W23" s="3">
        <f t="shared" si="127"/>
        <v>1.9000000000000008</v>
      </c>
      <c r="X23" s="3">
        <f t="shared" si="127"/>
        <v>1.9000000000000008</v>
      </c>
      <c r="Y23" s="3">
        <f t="shared" si="127"/>
        <v>1.9000000000000008</v>
      </c>
      <c r="Z23" s="3">
        <f t="shared" si="127"/>
        <v>1.9000000000000008</v>
      </c>
      <c r="AA23" s="3">
        <f t="shared" si="127"/>
        <v>1.9000000000000008</v>
      </c>
      <c r="AB23" s="3">
        <f t="shared" si="127"/>
        <v>1.9000000000000008</v>
      </c>
      <c r="AC23" s="3">
        <f t="shared" si="127"/>
        <v>1.9000000000000008</v>
      </c>
      <c r="AD23" s="3">
        <f t="shared" si="127"/>
        <v>1.9000000000000008</v>
      </c>
      <c r="AE23" s="3">
        <f t="shared" si="127"/>
        <v>1.9000000000000008</v>
      </c>
      <c r="AF23" s="3">
        <f t="shared" si="127"/>
        <v>1.9000000000000008</v>
      </c>
      <c r="AG23" s="3">
        <f t="shared" si="127"/>
        <v>1.9000000000000008</v>
      </c>
      <c r="AH23" s="3">
        <f t="shared" si="127"/>
        <v>1.9000000000000008</v>
      </c>
      <c r="AI23" s="3">
        <f t="shared" si="127"/>
        <v>1.9000000000000008</v>
      </c>
      <c r="AJ23" s="3">
        <f t="shared" si="127"/>
        <v>1.9000000000000008</v>
      </c>
      <c r="AK23" s="3">
        <f t="shared" si="127"/>
        <v>1.9000000000000008</v>
      </c>
      <c r="AL23" s="3">
        <f t="shared" si="127"/>
        <v>1.9000000000000008</v>
      </c>
      <c r="AM23" s="3">
        <f t="shared" si="127"/>
        <v>1.9000000000000008</v>
      </c>
      <c r="AN23" s="3">
        <f t="shared" si="127"/>
        <v>1.9000000000000008</v>
      </c>
      <c r="AO23" s="3">
        <f t="shared" si="127"/>
        <v>1.9000000000000008</v>
      </c>
      <c r="AP23" s="3">
        <f t="shared" si="127"/>
        <v>1.9000000000000008</v>
      </c>
      <c r="AQ23" s="3">
        <f t="shared" si="127"/>
        <v>1.9000000000000008</v>
      </c>
      <c r="AR23" s="3">
        <f t="shared" si="127"/>
        <v>1.9000000000000008</v>
      </c>
      <c r="AS23" s="3">
        <f t="shared" si="127"/>
        <v>1.9000000000000008</v>
      </c>
      <c r="AT23" s="3">
        <f t="shared" si="127"/>
        <v>1.9000000000000008</v>
      </c>
      <c r="AU23" s="3">
        <f t="shared" si="127"/>
        <v>1.9000000000000008</v>
      </c>
      <c r="AV23" s="3">
        <f t="shared" si="127"/>
        <v>1.9000000000000008</v>
      </c>
      <c r="AW23" s="3">
        <f t="shared" si="127"/>
        <v>1.9000000000000008</v>
      </c>
      <c r="AX23" s="3">
        <f t="shared" si="127"/>
        <v>1.9000000000000008</v>
      </c>
      <c r="AY23" s="3">
        <f t="shared" si="127"/>
        <v>1.9000000000000008</v>
      </c>
      <c r="AZ23" s="3">
        <f t="shared" si="127"/>
        <v>1.9000000000000008</v>
      </c>
      <c r="BA23" s="3">
        <f t="shared" si="127"/>
        <v>1.9000000000000008</v>
      </c>
      <c r="BB23" s="3">
        <f t="shared" si="127"/>
        <v>1.9000000000000008</v>
      </c>
      <c r="BC23" s="3">
        <f t="shared" si="127"/>
        <v>1.9000000000000008</v>
      </c>
      <c r="BD23" s="3">
        <f t="shared" si="127"/>
        <v>1.9000000000000008</v>
      </c>
      <c r="BE23" s="3">
        <f t="shared" si="127"/>
        <v>1.9000000000000008</v>
      </c>
      <c r="BF23" s="3">
        <f t="shared" si="127"/>
        <v>1.9000000000000008</v>
      </c>
      <c r="BG23" s="3">
        <f t="shared" si="127"/>
        <v>1.9000000000000008</v>
      </c>
      <c r="BH23" s="3">
        <f t="shared" si="127"/>
        <v>1.9000000000000008</v>
      </c>
      <c r="BI23" s="3">
        <f t="shared" si="127"/>
        <v>1.9000000000000008</v>
      </c>
      <c r="BJ23" s="3">
        <f t="shared" si="127"/>
        <v>1.9000000000000008</v>
      </c>
    </row>
    <row r="24" spans="2:70" s="3" customFormat="1" x14ac:dyDescent="0.2">
      <c r="B24" s="3" t="s">
        <v>24</v>
      </c>
      <c r="C24" s="90">
        <v>0.45</v>
      </c>
      <c r="D24" s="88">
        <v>0.55000000000000004</v>
      </c>
      <c r="E24" s="88">
        <v>0.61</v>
      </c>
      <c r="F24" s="88">
        <v>0.66</v>
      </c>
      <c r="G24" s="88">
        <v>0.74</v>
      </c>
      <c r="H24" s="17">
        <f t="shared" ref="H24:AI24" si="128">MIN(G24*(1+CPMGrowthPerMonth), MaxCPMOnAdsSold)</f>
        <v>0.81400000000000006</v>
      </c>
      <c r="I24" s="17">
        <f t="shared" si="128"/>
        <v>0.89540000000000008</v>
      </c>
      <c r="J24" s="17">
        <f t="shared" si="128"/>
        <v>0.98494000000000015</v>
      </c>
      <c r="K24" s="17">
        <f t="shared" si="128"/>
        <v>1.0834340000000002</v>
      </c>
      <c r="L24" s="17">
        <f t="shared" si="128"/>
        <v>1.1917774000000003</v>
      </c>
      <c r="M24" s="17">
        <f t="shared" si="128"/>
        <v>1.3109551400000004</v>
      </c>
      <c r="N24" s="17">
        <f t="shared" si="128"/>
        <v>1.4420506540000004</v>
      </c>
      <c r="O24" s="17">
        <f t="shared" si="128"/>
        <v>1.5</v>
      </c>
      <c r="P24" s="17">
        <f t="shared" si="128"/>
        <v>1.5</v>
      </c>
      <c r="Q24" s="17">
        <f t="shared" si="128"/>
        <v>1.5</v>
      </c>
      <c r="R24" s="17">
        <f t="shared" si="128"/>
        <v>1.5</v>
      </c>
      <c r="S24" s="17">
        <f t="shared" si="128"/>
        <v>1.5</v>
      </c>
      <c r="T24" s="17">
        <f t="shared" si="128"/>
        <v>1.5</v>
      </c>
      <c r="U24" s="17">
        <f t="shared" si="128"/>
        <v>1.5</v>
      </c>
      <c r="V24" s="17">
        <f t="shared" si="128"/>
        <v>1.5</v>
      </c>
      <c r="W24" s="17">
        <f t="shared" si="128"/>
        <v>1.5</v>
      </c>
      <c r="X24" s="17">
        <f t="shared" si="128"/>
        <v>1.5</v>
      </c>
      <c r="Y24" s="17">
        <f t="shared" si="128"/>
        <v>1.5</v>
      </c>
      <c r="Z24" s="17">
        <f t="shared" si="128"/>
        <v>1.5</v>
      </c>
      <c r="AA24" s="17">
        <f t="shared" si="128"/>
        <v>1.5</v>
      </c>
      <c r="AB24" s="17">
        <f t="shared" si="128"/>
        <v>1.5</v>
      </c>
      <c r="AC24" s="17">
        <f t="shared" si="128"/>
        <v>1.5</v>
      </c>
      <c r="AD24" s="17">
        <f t="shared" si="128"/>
        <v>1.5</v>
      </c>
      <c r="AE24" s="17">
        <f t="shared" si="128"/>
        <v>1.5</v>
      </c>
      <c r="AF24" s="17">
        <f t="shared" si="128"/>
        <v>1.5</v>
      </c>
      <c r="AG24" s="17">
        <f t="shared" si="128"/>
        <v>1.5</v>
      </c>
      <c r="AH24" s="17">
        <f t="shared" si="128"/>
        <v>1.5</v>
      </c>
      <c r="AI24" s="17">
        <f t="shared" si="128"/>
        <v>1.5</v>
      </c>
      <c r="AJ24" s="17">
        <f t="shared" ref="AJ24:BJ24" si="129">MIN(AI24*(1+CPMGrowthPerMonth), MaxCPMOnAdsSold)</f>
        <v>1.5</v>
      </c>
      <c r="AK24" s="17">
        <f t="shared" si="129"/>
        <v>1.5</v>
      </c>
      <c r="AL24" s="17">
        <f t="shared" si="129"/>
        <v>1.5</v>
      </c>
      <c r="AM24" s="17">
        <f t="shared" si="129"/>
        <v>1.5</v>
      </c>
      <c r="AN24" s="17">
        <f t="shared" si="129"/>
        <v>1.5</v>
      </c>
      <c r="AO24" s="17">
        <f t="shared" si="129"/>
        <v>1.5</v>
      </c>
      <c r="AP24" s="17">
        <f t="shared" si="129"/>
        <v>1.5</v>
      </c>
      <c r="AQ24" s="17">
        <f t="shared" si="129"/>
        <v>1.5</v>
      </c>
      <c r="AR24" s="17">
        <f t="shared" si="129"/>
        <v>1.5</v>
      </c>
      <c r="AS24" s="17">
        <f t="shared" si="129"/>
        <v>1.5</v>
      </c>
      <c r="AT24" s="17">
        <f t="shared" si="129"/>
        <v>1.5</v>
      </c>
      <c r="AU24" s="17">
        <f t="shared" si="129"/>
        <v>1.5</v>
      </c>
      <c r="AV24" s="17">
        <f t="shared" si="129"/>
        <v>1.5</v>
      </c>
      <c r="AW24" s="17">
        <f t="shared" si="129"/>
        <v>1.5</v>
      </c>
      <c r="AX24" s="17">
        <f t="shared" si="129"/>
        <v>1.5</v>
      </c>
      <c r="AY24" s="17">
        <f t="shared" si="129"/>
        <v>1.5</v>
      </c>
      <c r="AZ24" s="17">
        <f t="shared" si="129"/>
        <v>1.5</v>
      </c>
      <c r="BA24" s="17">
        <f t="shared" si="129"/>
        <v>1.5</v>
      </c>
      <c r="BB24" s="17">
        <f t="shared" si="129"/>
        <v>1.5</v>
      </c>
      <c r="BC24" s="17">
        <f t="shared" si="129"/>
        <v>1.5</v>
      </c>
      <c r="BD24" s="17">
        <f t="shared" si="129"/>
        <v>1.5</v>
      </c>
      <c r="BE24" s="17">
        <f t="shared" si="129"/>
        <v>1.5</v>
      </c>
      <c r="BF24" s="17">
        <f t="shared" si="129"/>
        <v>1.5</v>
      </c>
      <c r="BG24" s="17">
        <f t="shared" si="129"/>
        <v>1.5</v>
      </c>
      <c r="BH24" s="17">
        <f t="shared" si="129"/>
        <v>1.5</v>
      </c>
      <c r="BI24" s="17">
        <f t="shared" si="129"/>
        <v>1.5</v>
      </c>
      <c r="BJ24" s="17">
        <f t="shared" si="129"/>
        <v>1.5</v>
      </c>
    </row>
    <row r="25" spans="2:70" s="20" customFormat="1" x14ac:dyDescent="0.2">
      <c r="B25" s="20" t="s">
        <v>25</v>
      </c>
      <c r="C25" s="89">
        <f>C24*C22*C23/1000</f>
        <v>1.163745</v>
      </c>
      <c r="D25" s="89">
        <f>D24*D22*D23/1000</f>
        <v>2.0117240000000001</v>
      </c>
      <c r="E25" s="89">
        <f t="shared" ref="E25:BJ25" si="130">E24*E22*E23/1000</f>
        <v>3.1397798000000003</v>
      </c>
      <c r="F25" s="89">
        <f t="shared" si="130"/>
        <v>4.3179048000000009</v>
      </c>
      <c r="G25" s="89">
        <f t="shared" si="130"/>
        <v>32.496064000000004</v>
      </c>
      <c r="H25" s="20">
        <f t="shared" si="130"/>
        <v>40.008032556800011</v>
      </c>
      <c r="I25" s="20">
        <f t="shared" si="130"/>
        <v>49.636212786331114</v>
      </c>
      <c r="J25" s="20">
        <f t="shared" si="130"/>
        <v>61.01728702504429</v>
      </c>
      <c r="K25" s="20">
        <f t="shared" si="130"/>
        <v>74.456373417732323</v>
      </c>
      <c r="L25" s="20">
        <f t="shared" si="130"/>
        <v>90.31592443732697</v>
      </c>
      <c r="M25" s="20">
        <f t="shared" si="130"/>
        <v>109.0219472838306</v>
      </c>
      <c r="N25" s="20">
        <f t="shared" si="130"/>
        <v>131.081430390165</v>
      </c>
      <c r="O25" s="20">
        <f t="shared" si="130"/>
        <v>148.56023052484412</v>
      </c>
      <c r="P25" s="20">
        <f t="shared" si="130"/>
        <v>161.44733158289353</v>
      </c>
      <c r="Q25" s="20">
        <f t="shared" si="130"/>
        <v>175.0922037509981</v>
      </c>
      <c r="R25" s="20">
        <f t="shared" si="130"/>
        <v>189.58708491966493</v>
      </c>
      <c r="S25" s="20">
        <f t="shared" si="130"/>
        <v>194.78726563708182</v>
      </c>
      <c r="T25" s="20">
        <f t="shared" si="130"/>
        <v>200.46105075124049</v>
      </c>
      <c r="U25" s="20">
        <f t="shared" si="130"/>
        <v>206.66370090181499</v>
      </c>
      <c r="V25" s="20">
        <f t="shared" si="130"/>
        <v>213.44546919244704</v>
      </c>
      <c r="W25" s="20">
        <f t="shared" si="130"/>
        <v>220.86854671214206</v>
      </c>
      <c r="X25" s="20">
        <f t="shared" si="130"/>
        <v>228.9977227338068</v>
      </c>
      <c r="Y25" s="20">
        <f t="shared" si="130"/>
        <v>237.90426545763791</v>
      </c>
      <c r="Z25" s="20">
        <f t="shared" si="130"/>
        <v>247.66656990385212</v>
      </c>
      <c r="AA25" s="20">
        <f t="shared" si="130"/>
        <v>258.37416234468787</v>
      </c>
      <c r="AB25" s="20">
        <f t="shared" si="130"/>
        <v>270.11860900460709</v>
      </c>
      <c r="AC25" s="20">
        <f t="shared" si="130"/>
        <v>283.01083715551823</v>
      </c>
      <c r="AD25" s="20">
        <f t="shared" si="130"/>
        <v>297.16233319652054</v>
      </c>
      <c r="AE25" s="20">
        <f t="shared" si="130"/>
        <v>312.70264484162306</v>
      </c>
      <c r="AF25" s="20">
        <f t="shared" si="130"/>
        <v>329.77065365123576</v>
      </c>
      <c r="AG25" s="20">
        <f t="shared" si="130"/>
        <v>348.51912934180984</v>
      </c>
      <c r="AH25" s="20">
        <f t="shared" si="130"/>
        <v>369.11611860144126</v>
      </c>
      <c r="AI25" s="20">
        <f t="shared" si="130"/>
        <v>391.74976453703579</v>
      </c>
      <c r="AJ25" s="20">
        <f t="shared" si="130"/>
        <v>416.62669539118986</v>
      </c>
      <c r="AK25" s="20">
        <f t="shared" si="130"/>
        <v>443.96728955575935</v>
      </c>
      <c r="AL25" s="20">
        <f t="shared" si="130"/>
        <v>474.02087593678573</v>
      </c>
      <c r="AM25" s="20">
        <f t="shared" si="130"/>
        <v>507.06138715591482</v>
      </c>
      <c r="AN25" s="20">
        <f t="shared" si="130"/>
        <v>543.3865281719568</v>
      </c>
      <c r="AO25" s="20">
        <f t="shared" si="130"/>
        <v>583.32377443960274</v>
      </c>
      <c r="AP25" s="20">
        <f t="shared" si="130"/>
        <v>627.23993245901363</v>
      </c>
      <c r="AQ25" s="20">
        <f t="shared" si="130"/>
        <v>675.53124753036548</v>
      </c>
      <c r="AR25" s="20">
        <f t="shared" si="130"/>
        <v>728.63358948385246</v>
      </c>
      <c r="AS25" s="20">
        <f t="shared" si="130"/>
        <v>787.03299863268808</v>
      </c>
      <c r="AT25" s="20">
        <f t="shared" si="130"/>
        <v>851.25358572140726</v>
      </c>
      <c r="AU25" s="20">
        <f t="shared" si="130"/>
        <v>921.88207699399868</v>
      </c>
      <c r="AV25" s="20">
        <f t="shared" si="130"/>
        <v>999.55992121884913</v>
      </c>
      <c r="AW25" s="20">
        <f t="shared" si="130"/>
        <v>1084.9956746161843</v>
      </c>
      <c r="AX25" s="20">
        <f t="shared" si="130"/>
        <v>1178.9615071782534</v>
      </c>
      <c r="AY25" s="20">
        <f t="shared" si="130"/>
        <v>1282.3100976465296</v>
      </c>
      <c r="AZ25" s="20">
        <f t="shared" si="130"/>
        <v>1395.9823552116329</v>
      </c>
      <c r="BA25" s="20">
        <f t="shared" si="130"/>
        <v>1521.0093298832471</v>
      </c>
      <c r="BB25" s="20">
        <f t="shared" si="130"/>
        <v>1658.5248474970219</v>
      </c>
      <c r="BC25" s="20">
        <f t="shared" si="130"/>
        <v>1809.7856625471745</v>
      </c>
      <c r="BD25" s="20">
        <f t="shared" si="130"/>
        <v>1976.1597212773427</v>
      </c>
      <c r="BE25" s="20">
        <f t="shared" si="130"/>
        <v>2159.1649315555273</v>
      </c>
      <c r="BF25" s="20">
        <f t="shared" si="130"/>
        <v>2360.456508336531</v>
      </c>
      <c r="BG25" s="20">
        <f t="shared" si="130"/>
        <v>2581.8716468206344</v>
      </c>
      <c r="BH25" s="20">
        <f t="shared" si="130"/>
        <v>2825.4197406031485</v>
      </c>
      <c r="BI25" s="20">
        <f t="shared" si="130"/>
        <v>3093.3137560389141</v>
      </c>
      <c r="BJ25" s="20">
        <f t="shared" si="130"/>
        <v>3387.9902603432556</v>
      </c>
    </row>
  </sheetData>
  <pageMargins left="0.75" right="0.75" top="1" bottom="1" header="0.5" footer="0.5"/>
  <pageSetup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J3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  <sheetView zoomScale="220" zoomScaleNormal="220" zoomScalePageLayoutView="150" workbookViewId="1">
      <pane xSplit="2" ySplit="2" topLeftCell="C3" activePane="bottomRight" state="frozen"/>
      <selection activeCell="C56" sqref="C56"/>
      <selection pane="topRight" activeCell="C56" sqref="C56"/>
      <selection pane="bottomLeft" activeCell="C56" sqref="C56"/>
      <selection pane="bottomRight" activeCell="C56" sqref="C56"/>
    </sheetView>
  </sheetViews>
  <sheetFormatPr baseColWidth="10" defaultRowHeight="16" x14ac:dyDescent="0.2"/>
  <cols>
    <col min="1" max="1" width="12.5" bestFit="1" customWidth="1"/>
    <col min="2" max="2" width="18.33203125" bestFit="1" customWidth="1"/>
    <col min="3" max="3" width="11.6640625" bestFit="1" customWidth="1"/>
    <col min="4" max="4" width="11" bestFit="1" customWidth="1"/>
    <col min="5" max="61" width="11.5" bestFit="1" customWidth="1"/>
    <col min="62" max="62" width="11.6640625" bestFit="1" customWidth="1"/>
  </cols>
  <sheetData>
    <row r="1" spans="1:62" s="1" customFormat="1" x14ac:dyDescent="0.2">
      <c r="A1" s="1" t="s">
        <v>71</v>
      </c>
      <c r="C1" s="1" t="s">
        <v>0</v>
      </c>
    </row>
    <row r="2" spans="1:62" s="2" customFormat="1" x14ac:dyDescent="0.2">
      <c r="C2" s="91">
        <v>43480</v>
      </c>
      <c r="D2" s="91">
        <v>43510</v>
      </c>
      <c r="E2" s="91">
        <v>43540</v>
      </c>
      <c r="F2" s="91">
        <v>43570</v>
      </c>
      <c r="G2" s="91">
        <v>43600</v>
      </c>
      <c r="H2" s="74">
        <f>'Monthly Income Statement'!H2</f>
        <v>43630</v>
      </c>
      <c r="I2" s="74">
        <f>'Monthly Income Statement'!I2</f>
        <v>43660</v>
      </c>
      <c r="J2" s="74">
        <f>'Monthly Income Statement'!J2</f>
        <v>43690</v>
      </c>
      <c r="K2" s="74">
        <f>'Monthly Income Statement'!K2</f>
        <v>43720</v>
      </c>
      <c r="L2" s="74">
        <f>'Monthly Income Statement'!L2</f>
        <v>43750</v>
      </c>
      <c r="M2" s="74">
        <f>'Monthly Income Statement'!M2</f>
        <v>43780</v>
      </c>
      <c r="N2" s="74">
        <f>'Monthly Income Statement'!N2</f>
        <v>43810</v>
      </c>
      <c r="O2" s="74">
        <f>'Monthly Income Statement'!O2</f>
        <v>43840</v>
      </c>
      <c r="P2" s="74">
        <f>'Monthly Income Statement'!P2</f>
        <v>43870</v>
      </c>
      <c r="Q2" s="74">
        <f>'Monthly Income Statement'!Q2</f>
        <v>43900</v>
      </c>
      <c r="R2" s="74">
        <f>'Monthly Income Statement'!R2</f>
        <v>43930</v>
      </c>
      <c r="S2" s="74">
        <f>'Monthly Income Statement'!S2</f>
        <v>43960</v>
      </c>
      <c r="T2" s="74">
        <f>'Monthly Income Statement'!T2</f>
        <v>43990</v>
      </c>
      <c r="U2" s="74">
        <f>'Monthly Income Statement'!U2</f>
        <v>44020</v>
      </c>
      <c r="V2" s="74">
        <f>'Monthly Income Statement'!V2</f>
        <v>44050</v>
      </c>
      <c r="W2" s="74">
        <f>'Monthly Income Statement'!W2</f>
        <v>44080</v>
      </c>
      <c r="X2" s="74">
        <f>'Monthly Income Statement'!X2</f>
        <v>44110</v>
      </c>
      <c r="Y2" s="74">
        <f>'Monthly Income Statement'!Y2</f>
        <v>44140</v>
      </c>
      <c r="Z2" s="74">
        <f>'Monthly Income Statement'!Z2</f>
        <v>44170</v>
      </c>
      <c r="AA2" s="74">
        <f>'Monthly Income Statement'!AA2</f>
        <v>43845</v>
      </c>
      <c r="AB2" s="74">
        <f>'Monthly Income Statement'!AB2</f>
        <v>43875</v>
      </c>
      <c r="AC2" s="74">
        <f>'Monthly Income Statement'!AC2</f>
        <v>43905</v>
      </c>
      <c r="AD2" s="74">
        <f>'Monthly Income Statement'!AD2</f>
        <v>43935</v>
      </c>
      <c r="AE2" s="74">
        <f>'Monthly Income Statement'!AE2</f>
        <v>43965</v>
      </c>
      <c r="AF2" s="74">
        <f>'Monthly Income Statement'!AF2</f>
        <v>43995</v>
      </c>
      <c r="AG2" s="74">
        <f>'Monthly Income Statement'!AG2</f>
        <v>44025</v>
      </c>
      <c r="AH2" s="74">
        <f>'Monthly Income Statement'!AH2</f>
        <v>44055</v>
      </c>
      <c r="AI2" s="74">
        <f>'Monthly Income Statement'!AI2</f>
        <v>44085</v>
      </c>
      <c r="AJ2" s="74">
        <f>'Monthly Income Statement'!AJ2</f>
        <v>44115</v>
      </c>
      <c r="AK2" s="74">
        <f>'Monthly Income Statement'!AK2</f>
        <v>44145</v>
      </c>
      <c r="AL2" s="74">
        <f>'Monthly Income Statement'!AL2</f>
        <v>44175</v>
      </c>
      <c r="AM2" s="74">
        <f>'Monthly Income Statement'!AM2</f>
        <v>44205</v>
      </c>
      <c r="AN2" s="74">
        <f>'Monthly Income Statement'!AN2</f>
        <v>44235</v>
      </c>
      <c r="AO2" s="74">
        <f>'Monthly Income Statement'!AO2</f>
        <v>44265</v>
      </c>
      <c r="AP2" s="74">
        <f>'Monthly Income Statement'!AP2</f>
        <v>44295</v>
      </c>
      <c r="AQ2" s="74">
        <f>'Monthly Income Statement'!AQ2</f>
        <v>44325</v>
      </c>
      <c r="AR2" s="74">
        <f>'Monthly Income Statement'!AR2</f>
        <v>44355</v>
      </c>
      <c r="AS2" s="74">
        <f>'Monthly Income Statement'!AS2</f>
        <v>44385</v>
      </c>
      <c r="AT2" s="74">
        <f>'Monthly Income Statement'!AT2</f>
        <v>44415</v>
      </c>
      <c r="AU2" s="74">
        <f>'Monthly Income Statement'!AU2</f>
        <v>44445</v>
      </c>
      <c r="AV2" s="74">
        <f>'Monthly Income Statement'!AV2</f>
        <v>44475</v>
      </c>
      <c r="AW2" s="74">
        <f>'Monthly Income Statement'!AW2</f>
        <v>44505</v>
      </c>
      <c r="AX2" s="74">
        <f>'Monthly Income Statement'!AX2</f>
        <v>44535</v>
      </c>
      <c r="AY2" s="74">
        <f>'Monthly Income Statement'!AY2</f>
        <v>44576</v>
      </c>
      <c r="AZ2" s="74">
        <f>'Monthly Income Statement'!AZ2</f>
        <v>44606</v>
      </c>
      <c r="BA2" s="74">
        <f>'Monthly Income Statement'!BA2</f>
        <v>44636</v>
      </c>
      <c r="BB2" s="74">
        <f>'Monthly Income Statement'!BB2</f>
        <v>44666</v>
      </c>
      <c r="BC2" s="74">
        <f>'Monthly Income Statement'!BC2</f>
        <v>44696</v>
      </c>
      <c r="BD2" s="74">
        <f>'Monthly Income Statement'!BD2</f>
        <v>44726</v>
      </c>
      <c r="BE2" s="74">
        <f>'Monthly Income Statement'!BE2</f>
        <v>44756</v>
      </c>
      <c r="BF2" s="74">
        <f>'Monthly Income Statement'!BF2</f>
        <v>44786</v>
      </c>
      <c r="BG2" s="74">
        <f>'Monthly Income Statement'!BG2</f>
        <v>44816</v>
      </c>
      <c r="BH2" s="74">
        <f>'Monthly Income Statement'!BH2</f>
        <v>44846</v>
      </c>
      <c r="BI2" s="74">
        <f>'Monthly Income Statement'!BI2</f>
        <v>44876</v>
      </c>
      <c r="BJ2" s="74">
        <f>'Monthly Income Statement'!BJ2</f>
        <v>44906</v>
      </c>
    </row>
    <row r="3" spans="1:62" x14ac:dyDescent="0.2">
      <c r="C3" s="79"/>
      <c r="D3" s="79"/>
      <c r="E3" s="79"/>
      <c r="F3" s="79"/>
      <c r="G3" s="79"/>
    </row>
    <row r="4" spans="1:62" x14ac:dyDescent="0.2">
      <c r="B4" t="s">
        <v>72</v>
      </c>
      <c r="C4" s="79">
        <v>1</v>
      </c>
      <c r="D4" s="79">
        <v>1</v>
      </c>
      <c r="E4" s="79">
        <v>1</v>
      </c>
      <c r="F4" s="79">
        <v>1</v>
      </c>
      <c r="G4" s="79">
        <v>1</v>
      </c>
      <c r="H4">
        <f t="shared" ref="H4:BJ7" si="0">G4</f>
        <v>1</v>
      </c>
      <c r="I4">
        <f t="shared" si="0"/>
        <v>1</v>
      </c>
      <c r="J4">
        <f t="shared" si="0"/>
        <v>1</v>
      </c>
      <c r="K4">
        <f t="shared" si="0"/>
        <v>1</v>
      </c>
      <c r="L4">
        <f t="shared" si="0"/>
        <v>1</v>
      </c>
      <c r="M4">
        <f t="shared" si="0"/>
        <v>1</v>
      </c>
      <c r="N4">
        <f t="shared" si="0"/>
        <v>1</v>
      </c>
      <c r="O4">
        <f t="shared" si="0"/>
        <v>1</v>
      </c>
      <c r="P4">
        <f t="shared" si="0"/>
        <v>1</v>
      </c>
      <c r="Q4">
        <f t="shared" si="0"/>
        <v>1</v>
      </c>
      <c r="R4">
        <f t="shared" si="0"/>
        <v>1</v>
      </c>
      <c r="S4">
        <f t="shared" si="0"/>
        <v>1</v>
      </c>
      <c r="T4">
        <f t="shared" si="0"/>
        <v>1</v>
      </c>
      <c r="U4">
        <f t="shared" si="0"/>
        <v>1</v>
      </c>
      <c r="V4">
        <f t="shared" si="0"/>
        <v>1</v>
      </c>
      <c r="W4">
        <f t="shared" si="0"/>
        <v>1</v>
      </c>
      <c r="X4">
        <f t="shared" si="0"/>
        <v>1</v>
      </c>
      <c r="Y4">
        <f t="shared" si="0"/>
        <v>1</v>
      </c>
      <c r="Z4">
        <f t="shared" si="0"/>
        <v>1</v>
      </c>
      <c r="AA4">
        <f t="shared" si="0"/>
        <v>1</v>
      </c>
      <c r="AB4">
        <f t="shared" si="0"/>
        <v>1</v>
      </c>
      <c r="AC4">
        <f t="shared" si="0"/>
        <v>1</v>
      </c>
      <c r="AD4">
        <f t="shared" si="0"/>
        <v>1</v>
      </c>
      <c r="AE4">
        <f t="shared" si="0"/>
        <v>1</v>
      </c>
      <c r="AF4">
        <f t="shared" si="0"/>
        <v>1</v>
      </c>
      <c r="AG4">
        <f t="shared" si="0"/>
        <v>1</v>
      </c>
      <c r="AH4">
        <f t="shared" si="0"/>
        <v>1</v>
      </c>
      <c r="AI4">
        <f t="shared" si="0"/>
        <v>1</v>
      </c>
      <c r="AJ4">
        <f t="shared" si="0"/>
        <v>1</v>
      </c>
      <c r="AK4">
        <f t="shared" si="0"/>
        <v>1</v>
      </c>
      <c r="AL4">
        <f t="shared" si="0"/>
        <v>1</v>
      </c>
      <c r="AM4">
        <f t="shared" si="0"/>
        <v>1</v>
      </c>
      <c r="AN4">
        <f t="shared" si="0"/>
        <v>1</v>
      </c>
      <c r="AO4">
        <f t="shared" si="0"/>
        <v>1</v>
      </c>
      <c r="AP4">
        <f t="shared" si="0"/>
        <v>1</v>
      </c>
      <c r="AQ4">
        <f t="shared" si="0"/>
        <v>1</v>
      </c>
      <c r="AR4">
        <f t="shared" si="0"/>
        <v>1</v>
      </c>
      <c r="AS4">
        <f t="shared" si="0"/>
        <v>1</v>
      </c>
      <c r="AT4">
        <f t="shared" si="0"/>
        <v>1</v>
      </c>
      <c r="AU4">
        <f t="shared" si="0"/>
        <v>1</v>
      </c>
      <c r="AV4">
        <f t="shared" si="0"/>
        <v>1</v>
      </c>
      <c r="AW4">
        <f t="shared" si="0"/>
        <v>1</v>
      </c>
      <c r="AX4">
        <f t="shared" si="0"/>
        <v>1</v>
      </c>
      <c r="AY4">
        <f t="shared" si="0"/>
        <v>1</v>
      </c>
      <c r="AZ4">
        <f t="shared" si="0"/>
        <v>1</v>
      </c>
      <c r="BA4">
        <f t="shared" si="0"/>
        <v>1</v>
      </c>
      <c r="BB4">
        <f t="shared" si="0"/>
        <v>1</v>
      </c>
      <c r="BC4">
        <f t="shared" si="0"/>
        <v>1</v>
      </c>
      <c r="BD4">
        <f t="shared" si="0"/>
        <v>1</v>
      </c>
      <c r="BE4">
        <f t="shared" si="0"/>
        <v>1</v>
      </c>
      <c r="BF4">
        <f t="shared" si="0"/>
        <v>1</v>
      </c>
      <c r="BG4">
        <f t="shared" si="0"/>
        <v>1</v>
      </c>
      <c r="BH4">
        <f t="shared" si="0"/>
        <v>1</v>
      </c>
      <c r="BI4">
        <f t="shared" si="0"/>
        <v>1</v>
      </c>
      <c r="BJ4">
        <f t="shared" si="0"/>
        <v>1</v>
      </c>
    </row>
    <row r="5" spans="1:62" x14ac:dyDescent="0.2">
      <c r="B5" t="s">
        <v>73</v>
      </c>
      <c r="C5" s="79">
        <v>1</v>
      </c>
      <c r="D5" s="79">
        <v>1</v>
      </c>
      <c r="E5" s="79">
        <v>1</v>
      </c>
      <c r="F5" s="79">
        <v>1</v>
      </c>
      <c r="G5" s="79">
        <v>1</v>
      </c>
      <c r="H5">
        <f t="shared" ref="H5:S5" si="1">G5</f>
        <v>1</v>
      </c>
      <c r="I5">
        <f t="shared" si="1"/>
        <v>1</v>
      </c>
      <c r="J5">
        <f t="shared" si="1"/>
        <v>1</v>
      </c>
      <c r="K5">
        <f t="shared" si="1"/>
        <v>1</v>
      </c>
      <c r="L5">
        <f t="shared" si="1"/>
        <v>1</v>
      </c>
      <c r="M5">
        <f t="shared" si="1"/>
        <v>1</v>
      </c>
      <c r="N5">
        <f t="shared" si="1"/>
        <v>1</v>
      </c>
      <c r="O5">
        <f t="shared" si="1"/>
        <v>1</v>
      </c>
      <c r="P5">
        <f t="shared" si="1"/>
        <v>1</v>
      </c>
      <c r="Q5">
        <f t="shared" si="1"/>
        <v>1</v>
      </c>
      <c r="R5">
        <f t="shared" si="1"/>
        <v>1</v>
      </c>
      <c r="S5">
        <f t="shared" si="1"/>
        <v>1</v>
      </c>
      <c r="T5">
        <f t="shared" si="0"/>
        <v>1</v>
      </c>
      <c r="U5">
        <f t="shared" si="0"/>
        <v>1</v>
      </c>
      <c r="V5">
        <f t="shared" si="0"/>
        <v>1</v>
      </c>
      <c r="W5">
        <f t="shared" si="0"/>
        <v>1</v>
      </c>
      <c r="X5">
        <f t="shared" si="0"/>
        <v>1</v>
      </c>
      <c r="Y5">
        <f t="shared" si="0"/>
        <v>1</v>
      </c>
      <c r="Z5">
        <f t="shared" si="0"/>
        <v>1</v>
      </c>
      <c r="AA5">
        <f t="shared" si="0"/>
        <v>1</v>
      </c>
      <c r="AB5">
        <f t="shared" si="0"/>
        <v>1</v>
      </c>
      <c r="AC5">
        <f t="shared" si="0"/>
        <v>1</v>
      </c>
      <c r="AD5">
        <f t="shared" si="0"/>
        <v>1</v>
      </c>
      <c r="AE5">
        <f t="shared" si="0"/>
        <v>1</v>
      </c>
      <c r="AF5">
        <f t="shared" si="0"/>
        <v>1</v>
      </c>
      <c r="AG5">
        <f t="shared" si="0"/>
        <v>1</v>
      </c>
      <c r="AH5">
        <f t="shared" si="0"/>
        <v>1</v>
      </c>
      <c r="AI5">
        <f t="shared" si="0"/>
        <v>1</v>
      </c>
      <c r="AJ5">
        <f t="shared" si="0"/>
        <v>1</v>
      </c>
      <c r="AK5">
        <f t="shared" si="0"/>
        <v>1</v>
      </c>
      <c r="AL5">
        <f t="shared" si="0"/>
        <v>1</v>
      </c>
      <c r="AM5">
        <f t="shared" si="0"/>
        <v>1</v>
      </c>
      <c r="AN5">
        <f t="shared" si="0"/>
        <v>1</v>
      </c>
      <c r="AO5">
        <f t="shared" si="0"/>
        <v>1</v>
      </c>
      <c r="AP5">
        <f t="shared" si="0"/>
        <v>1</v>
      </c>
      <c r="AQ5">
        <f t="shared" si="0"/>
        <v>1</v>
      </c>
      <c r="AR5">
        <f t="shared" si="0"/>
        <v>1</v>
      </c>
      <c r="AS5">
        <f t="shared" si="0"/>
        <v>1</v>
      </c>
      <c r="AT5">
        <f t="shared" si="0"/>
        <v>1</v>
      </c>
      <c r="AU5">
        <f t="shared" si="0"/>
        <v>1</v>
      </c>
      <c r="AV5">
        <f t="shared" si="0"/>
        <v>1</v>
      </c>
      <c r="AW5">
        <f t="shared" si="0"/>
        <v>1</v>
      </c>
      <c r="AX5">
        <f t="shared" si="0"/>
        <v>1</v>
      </c>
      <c r="AY5">
        <f t="shared" si="0"/>
        <v>1</v>
      </c>
      <c r="AZ5">
        <f t="shared" si="0"/>
        <v>1</v>
      </c>
      <c r="BA5">
        <f t="shared" si="0"/>
        <v>1</v>
      </c>
      <c r="BB5">
        <f t="shared" si="0"/>
        <v>1</v>
      </c>
      <c r="BC5">
        <f t="shared" si="0"/>
        <v>1</v>
      </c>
      <c r="BD5">
        <f t="shared" si="0"/>
        <v>1</v>
      </c>
      <c r="BE5">
        <f t="shared" si="0"/>
        <v>1</v>
      </c>
      <c r="BF5">
        <f t="shared" si="0"/>
        <v>1</v>
      </c>
      <c r="BG5">
        <f t="shared" si="0"/>
        <v>1</v>
      </c>
      <c r="BH5">
        <f t="shared" si="0"/>
        <v>1</v>
      </c>
      <c r="BI5">
        <f t="shared" si="0"/>
        <v>1</v>
      </c>
      <c r="BJ5">
        <f t="shared" si="0"/>
        <v>1</v>
      </c>
    </row>
    <row r="6" spans="1:62" x14ac:dyDescent="0.2">
      <c r="B6" t="s">
        <v>75</v>
      </c>
      <c r="C6" s="79">
        <v>1</v>
      </c>
      <c r="D6" s="79">
        <v>1</v>
      </c>
      <c r="E6" s="79">
        <v>1</v>
      </c>
      <c r="F6" s="79">
        <v>2</v>
      </c>
      <c r="G6" s="79">
        <v>2</v>
      </c>
      <c r="H6">
        <f t="shared" si="0"/>
        <v>2</v>
      </c>
      <c r="I6">
        <f t="shared" si="0"/>
        <v>2</v>
      </c>
      <c r="J6">
        <f t="shared" si="0"/>
        <v>2</v>
      </c>
      <c r="K6">
        <f t="shared" si="0"/>
        <v>2</v>
      </c>
      <c r="L6">
        <f t="shared" si="0"/>
        <v>2</v>
      </c>
      <c r="M6">
        <f t="shared" si="0"/>
        <v>2</v>
      </c>
      <c r="N6">
        <f t="shared" si="0"/>
        <v>2</v>
      </c>
      <c r="O6">
        <v>3</v>
      </c>
      <c r="P6">
        <f t="shared" si="0"/>
        <v>3</v>
      </c>
      <c r="Q6">
        <f t="shared" si="0"/>
        <v>3</v>
      </c>
      <c r="R6">
        <f t="shared" si="0"/>
        <v>3</v>
      </c>
      <c r="S6">
        <f t="shared" si="0"/>
        <v>3</v>
      </c>
      <c r="T6">
        <f t="shared" si="0"/>
        <v>3</v>
      </c>
      <c r="U6">
        <f t="shared" si="0"/>
        <v>3</v>
      </c>
      <c r="V6">
        <f t="shared" si="0"/>
        <v>3</v>
      </c>
      <c r="W6">
        <f t="shared" si="0"/>
        <v>3</v>
      </c>
      <c r="X6">
        <f t="shared" si="0"/>
        <v>3</v>
      </c>
      <c r="Y6">
        <f t="shared" si="0"/>
        <v>3</v>
      </c>
      <c r="Z6">
        <f t="shared" si="0"/>
        <v>3</v>
      </c>
      <c r="AA6">
        <f t="shared" si="0"/>
        <v>3</v>
      </c>
      <c r="AB6">
        <f t="shared" si="0"/>
        <v>3</v>
      </c>
      <c r="AC6">
        <f t="shared" si="0"/>
        <v>3</v>
      </c>
      <c r="AD6">
        <f t="shared" si="0"/>
        <v>3</v>
      </c>
      <c r="AE6">
        <f t="shared" si="0"/>
        <v>3</v>
      </c>
      <c r="AF6">
        <f t="shared" si="0"/>
        <v>3</v>
      </c>
      <c r="AG6">
        <f t="shared" si="0"/>
        <v>3</v>
      </c>
      <c r="AH6">
        <f t="shared" si="0"/>
        <v>3</v>
      </c>
      <c r="AI6">
        <f t="shared" si="0"/>
        <v>3</v>
      </c>
      <c r="AJ6">
        <f t="shared" si="0"/>
        <v>3</v>
      </c>
      <c r="AK6">
        <f t="shared" si="0"/>
        <v>3</v>
      </c>
      <c r="AL6">
        <f t="shared" si="0"/>
        <v>3</v>
      </c>
      <c r="AM6">
        <f t="shared" si="0"/>
        <v>3</v>
      </c>
      <c r="AN6">
        <f t="shared" si="0"/>
        <v>3</v>
      </c>
      <c r="AO6">
        <f t="shared" si="0"/>
        <v>3</v>
      </c>
      <c r="AP6">
        <f t="shared" si="0"/>
        <v>3</v>
      </c>
      <c r="AQ6">
        <f t="shared" si="0"/>
        <v>3</v>
      </c>
      <c r="AR6">
        <f t="shared" si="0"/>
        <v>3</v>
      </c>
      <c r="AS6">
        <f t="shared" si="0"/>
        <v>3</v>
      </c>
      <c r="AT6">
        <f t="shared" si="0"/>
        <v>3</v>
      </c>
      <c r="AU6">
        <f t="shared" si="0"/>
        <v>3</v>
      </c>
      <c r="AV6">
        <f t="shared" si="0"/>
        <v>3</v>
      </c>
      <c r="AW6">
        <f t="shared" si="0"/>
        <v>3</v>
      </c>
      <c r="AX6">
        <f t="shared" si="0"/>
        <v>3</v>
      </c>
      <c r="AY6">
        <f t="shared" si="0"/>
        <v>3</v>
      </c>
      <c r="AZ6">
        <f t="shared" si="0"/>
        <v>3</v>
      </c>
      <c r="BA6">
        <f t="shared" si="0"/>
        <v>3</v>
      </c>
      <c r="BB6">
        <f t="shared" si="0"/>
        <v>3</v>
      </c>
      <c r="BC6">
        <f t="shared" si="0"/>
        <v>3</v>
      </c>
      <c r="BD6">
        <f t="shared" si="0"/>
        <v>3</v>
      </c>
      <c r="BE6">
        <f t="shared" si="0"/>
        <v>3</v>
      </c>
      <c r="BF6">
        <f t="shared" si="0"/>
        <v>3</v>
      </c>
      <c r="BG6">
        <f t="shared" si="0"/>
        <v>3</v>
      </c>
      <c r="BH6">
        <f t="shared" si="0"/>
        <v>3</v>
      </c>
      <c r="BI6">
        <f t="shared" si="0"/>
        <v>3</v>
      </c>
      <c r="BJ6">
        <f t="shared" si="0"/>
        <v>3</v>
      </c>
    </row>
    <row r="7" spans="1:62" x14ac:dyDescent="0.2">
      <c r="B7" t="s">
        <v>76</v>
      </c>
      <c r="C7" s="79">
        <v>0</v>
      </c>
      <c r="D7" s="79">
        <v>0</v>
      </c>
      <c r="E7" s="79">
        <v>1</v>
      </c>
      <c r="F7" s="79">
        <v>1</v>
      </c>
      <c r="G7" s="79">
        <v>1</v>
      </c>
      <c r="H7">
        <f t="shared" si="0"/>
        <v>1</v>
      </c>
      <c r="I7">
        <f t="shared" si="0"/>
        <v>1</v>
      </c>
      <c r="J7">
        <f t="shared" si="0"/>
        <v>1</v>
      </c>
      <c r="K7">
        <f t="shared" si="0"/>
        <v>1</v>
      </c>
      <c r="L7">
        <f t="shared" si="0"/>
        <v>1</v>
      </c>
      <c r="M7">
        <f t="shared" si="0"/>
        <v>1</v>
      </c>
      <c r="N7">
        <f t="shared" si="0"/>
        <v>1</v>
      </c>
      <c r="O7">
        <f t="shared" si="0"/>
        <v>1</v>
      </c>
      <c r="P7">
        <f t="shared" si="0"/>
        <v>1</v>
      </c>
      <c r="Q7">
        <f t="shared" si="0"/>
        <v>1</v>
      </c>
      <c r="R7">
        <f t="shared" si="0"/>
        <v>1</v>
      </c>
      <c r="S7">
        <f t="shared" si="0"/>
        <v>1</v>
      </c>
      <c r="T7">
        <f t="shared" si="0"/>
        <v>1</v>
      </c>
      <c r="U7">
        <f t="shared" si="0"/>
        <v>1</v>
      </c>
      <c r="V7">
        <f t="shared" si="0"/>
        <v>1</v>
      </c>
      <c r="W7">
        <f t="shared" si="0"/>
        <v>1</v>
      </c>
      <c r="X7">
        <f t="shared" si="0"/>
        <v>1</v>
      </c>
      <c r="Y7">
        <f t="shared" si="0"/>
        <v>1</v>
      </c>
      <c r="Z7">
        <f t="shared" si="0"/>
        <v>1</v>
      </c>
      <c r="AA7">
        <f t="shared" si="0"/>
        <v>1</v>
      </c>
      <c r="AB7">
        <f t="shared" si="0"/>
        <v>1</v>
      </c>
      <c r="AC7">
        <f t="shared" si="0"/>
        <v>1</v>
      </c>
      <c r="AD7">
        <f t="shared" si="0"/>
        <v>1</v>
      </c>
      <c r="AE7">
        <f t="shared" si="0"/>
        <v>1</v>
      </c>
      <c r="AF7">
        <f t="shared" si="0"/>
        <v>1</v>
      </c>
      <c r="AG7">
        <f t="shared" si="0"/>
        <v>1</v>
      </c>
      <c r="AH7">
        <f t="shared" si="0"/>
        <v>1</v>
      </c>
      <c r="AI7">
        <f t="shared" si="0"/>
        <v>1</v>
      </c>
      <c r="AJ7">
        <f t="shared" si="0"/>
        <v>1</v>
      </c>
      <c r="AK7">
        <f t="shared" si="0"/>
        <v>1</v>
      </c>
      <c r="AL7">
        <f t="shared" si="0"/>
        <v>1</v>
      </c>
      <c r="AM7">
        <f t="shared" si="0"/>
        <v>1</v>
      </c>
      <c r="AN7">
        <f t="shared" si="0"/>
        <v>1</v>
      </c>
      <c r="AO7">
        <f t="shared" si="0"/>
        <v>1</v>
      </c>
      <c r="AP7">
        <f t="shared" si="0"/>
        <v>1</v>
      </c>
      <c r="AQ7">
        <f t="shared" si="0"/>
        <v>1</v>
      </c>
      <c r="AR7">
        <f t="shared" si="0"/>
        <v>1</v>
      </c>
      <c r="AS7">
        <f t="shared" si="0"/>
        <v>1</v>
      </c>
      <c r="AT7">
        <f t="shared" si="0"/>
        <v>1</v>
      </c>
      <c r="AU7">
        <f t="shared" si="0"/>
        <v>1</v>
      </c>
      <c r="AV7">
        <f t="shared" si="0"/>
        <v>1</v>
      </c>
      <c r="AW7">
        <f t="shared" si="0"/>
        <v>1</v>
      </c>
      <c r="AX7">
        <f t="shared" si="0"/>
        <v>1</v>
      </c>
      <c r="AY7">
        <f t="shared" si="0"/>
        <v>1</v>
      </c>
      <c r="AZ7">
        <f t="shared" si="0"/>
        <v>1</v>
      </c>
      <c r="BA7">
        <f t="shared" si="0"/>
        <v>1</v>
      </c>
      <c r="BB7">
        <f t="shared" si="0"/>
        <v>1</v>
      </c>
      <c r="BC7">
        <f t="shared" si="0"/>
        <v>1</v>
      </c>
      <c r="BD7">
        <f t="shared" si="0"/>
        <v>1</v>
      </c>
      <c r="BE7">
        <f t="shared" si="0"/>
        <v>1</v>
      </c>
      <c r="BF7">
        <f t="shared" si="0"/>
        <v>1</v>
      </c>
      <c r="BG7">
        <f t="shared" si="0"/>
        <v>1</v>
      </c>
      <c r="BH7">
        <f t="shared" si="0"/>
        <v>1</v>
      </c>
      <c r="BI7">
        <f t="shared" si="0"/>
        <v>1</v>
      </c>
      <c r="BJ7">
        <f t="shared" si="0"/>
        <v>1</v>
      </c>
    </row>
    <row r="8" spans="1:62" x14ac:dyDescent="0.2">
      <c r="C8" s="79"/>
      <c r="D8" s="79"/>
      <c r="E8" s="79"/>
      <c r="F8" s="79"/>
      <c r="G8" s="79"/>
    </row>
    <row r="9" spans="1:62" x14ac:dyDescent="0.2">
      <c r="B9" t="s">
        <v>74</v>
      </c>
      <c r="C9" s="79">
        <v>1</v>
      </c>
      <c r="D9" s="79">
        <v>1</v>
      </c>
      <c r="E9" s="79">
        <v>1</v>
      </c>
      <c r="F9" s="79">
        <v>1</v>
      </c>
      <c r="G9" s="79">
        <v>1</v>
      </c>
      <c r="H9">
        <f t="shared" ref="H9:BJ9" si="2">G9</f>
        <v>1</v>
      </c>
      <c r="I9">
        <f t="shared" si="2"/>
        <v>1</v>
      </c>
      <c r="J9">
        <f t="shared" si="2"/>
        <v>1</v>
      </c>
      <c r="K9">
        <f t="shared" si="2"/>
        <v>1</v>
      </c>
      <c r="L9">
        <f t="shared" si="2"/>
        <v>1</v>
      </c>
      <c r="M9">
        <f t="shared" si="2"/>
        <v>1</v>
      </c>
      <c r="N9">
        <f t="shared" si="2"/>
        <v>1</v>
      </c>
      <c r="O9">
        <f t="shared" si="2"/>
        <v>1</v>
      </c>
      <c r="P9">
        <f t="shared" si="2"/>
        <v>1</v>
      </c>
      <c r="Q9">
        <f t="shared" si="2"/>
        <v>1</v>
      </c>
      <c r="R9">
        <f t="shared" si="2"/>
        <v>1</v>
      </c>
      <c r="S9">
        <f t="shared" si="2"/>
        <v>1</v>
      </c>
      <c r="T9">
        <f t="shared" si="2"/>
        <v>1</v>
      </c>
      <c r="U9">
        <f t="shared" si="2"/>
        <v>1</v>
      </c>
      <c r="V9">
        <f t="shared" si="2"/>
        <v>1</v>
      </c>
      <c r="W9">
        <f t="shared" si="2"/>
        <v>1</v>
      </c>
      <c r="X9">
        <f t="shared" si="2"/>
        <v>1</v>
      </c>
      <c r="Y9">
        <f t="shared" si="2"/>
        <v>1</v>
      </c>
      <c r="Z9">
        <f t="shared" si="2"/>
        <v>1</v>
      </c>
      <c r="AA9">
        <f t="shared" si="2"/>
        <v>1</v>
      </c>
      <c r="AB9">
        <f t="shared" si="2"/>
        <v>1</v>
      </c>
      <c r="AC9">
        <f t="shared" si="2"/>
        <v>1</v>
      </c>
      <c r="AD9">
        <f t="shared" si="2"/>
        <v>1</v>
      </c>
      <c r="AE9">
        <f t="shared" si="2"/>
        <v>1</v>
      </c>
      <c r="AF9">
        <f t="shared" si="2"/>
        <v>1</v>
      </c>
      <c r="AG9">
        <f t="shared" si="2"/>
        <v>1</v>
      </c>
      <c r="AH9">
        <f t="shared" si="2"/>
        <v>1</v>
      </c>
      <c r="AI9">
        <f t="shared" si="2"/>
        <v>1</v>
      </c>
      <c r="AJ9">
        <f t="shared" si="2"/>
        <v>1</v>
      </c>
      <c r="AK9">
        <f t="shared" si="2"/>
        <v>1</v>
      </c>
      <c r="AL9">
        <f t="shared" si="2"/>
        <v>1</v>
      </c>
      <c r="AM9">
        <f t="shared" si="2"/>
        <v>1</v>
      </c>
      <c r="AN9">
        <f t="shared" si="2"/>
        <v>1</v>
      </c>
      <c r="AO9">
        <f t="shared" si="2"/>
        <v>1</v>
      </c>
      <c r="AP9">
        <f t="shared" si="2"/>
        <v>1</v>
      </c>
      <c r="AQ9">
        <f t="shared" si="2"/>
        <v>1</v>
      </c>
      <c r="AR9">
        <f t="shared" si="2"/>
        <v>1</v>
      </c>
      <c r="AS9">
        <f t="shared" si="2"/>
        <v>1</v>
      </c>
      <c r="AT9">
        <f t="shared" si="2"/>
        <v>1</v>
      </c>
      <c r="AU9">
        <f t="shared" si="2"/>
        <v>1</v>
      </c>
      <c r="AV9">
        <f t="shared" si="2"/>
        <v>1</v>
      </c>
      <c r="AW9">
        <f t="shared" si="2"/>
        <v>1</v>
      </c>
      <c r="AX9">
        <f t="shared" si="2"/>
        <v>1</v>
      </c>
      <c r="AY9">
        <f t="shared" si="2"/>
        <v>1</v>
      </c>
      <c r="AZ9">
        <f t="shared" si="2"/>
        <v>1</v>
      </c>
      <c r="BA9">
        <f t="shared" si="2"/>
        <v>1</v>
      </c>
      <c r="BB9">
        <f t="shared" si="2"/>
        <v>1</v>
      </c>
      <c r="BC9">
        <f t="shared" si="2"/>
        <v>1</v>
      </c>
      <c r="BD9">
        <f t="shared" si="2"/>
        <v>1</v>
      </c>
      <c r="BE9">
        <f t="shared" si="2"/>
        <v>1</v>
      </c>
      <c r="BF9">
        <f t="shared" si="2"/>
        <v>1</v>
      </c>
      <c r="BG9">
        <f t="shared" si="2"/>
        <v>1</v>
      </c>
      <c r="BH9">
        <f t="shared" si="2"/>
        <v>1</v>
      </c>
      <c r="BI9">
        <f t="shared" si="2"/>
        <v>1</v>
      </c>
      <c r="BJ9">
        <f t="shared" si="2"/>
        <v>1</v>
      </c>
    </row>
    <row r="10" spans="1:62" x14ac:dyDescent="0.2">
      <c r="B10" t="s">
        <v>77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>
        <f t="shared" ref="H10:BJ10" si="3">G10</f>
        <v>0</v>
      </c>
      <c r="I10">
        <f t="shared" si="3"/>
        <v>0</v>
      </c>
      <c r="J10">
        <f t="shared" si="3"/>
        <v>0</v>
      </c>
      <c r="K10">
        <f t="shared" si="3"/>
        <v>0</v>
      </c>
      <c r="L10">
        <f t="shared" si="3"/>
        <v>0</v>
      </c>
      <c r="M10">
        <f t="shared" si="3"/>
        <v>0</v>
      </c>
      <c r="N10">
        <f t="shared" si="3"/>
        <v>0</v>
      </c>
      <c r="O10">
        <f t="shared" si="3"/>
        <v>0</v>
      </c>
      <c r="P10">
        <f t="shared" si="3"/>
        <v>0</v>
      </c>
      <c r="Q10">
        <f t="shared" si="3"/>
        <v>0</v>
      </c>
      <c r="R10">
        <f t="shared" si="3"/>
        <v>0</v>
      </c>
      <c r="S10">
        <f t="shared" si="3"/>
        <v>0</v>
      </c>
      <c r="T10">
        <f t="shared" si="3"/>
        <v>0</v>
      </c>
      <c r="U10">
        <f t="shared" si="3"/>
        <v>0</v>
      </c>
      <c r="V10">
        <f t="shared" si="3"/>
        <v>0</v>
      </c>
      <c r="W10">
        <f t="shared" si="3"/>
        <v>0</v>
      </c>
      <c r="X10">
        <f t="shared" si="3"/>
        <v>0</v>
      </c>
      <c r="Y10">
        <f t="shared" si="3"/>
        <v>0</v>
      </c>
      <c r="Z10">
        <f t="shared" si="3"/>
        <v>0</v>
      </c>
      <c r="AA10">
        <f t="shared" si="3"/>
        <v>0</v>
      </c>
      <c r="AB10">
        <f t="shared" si="3"/>
        <v>0</v>
      </c>
      <c r="AC10">
        <f t="shared" si="3"/>
        <v>0</v>
      </c>
      <c r="AD10">
        <f t="shared" si="3"/>
        <v>0</v>
      </c>
      <c r="AE10">
        <f t="shared" si="3"/>
        <v>0</v>
      </c>
      <c r="AF10">
        <f t="shared" si="3"/>
        <v>0</v>
      </c>
      <c r="AG10">
        <f t="shared" si="3"/>
        <v>0</v>
      </c>
      <c r="AH10">
        <f t="shared" si="3"/>
        <v>0</v>
      </c>
      <c r="AI10">
        <f t="shared" si="3"/>
        <v>0</v>
      </c>
      <c r="AJ10">
        <f t="shared" si="3"/>
        <v>0</v>
      </c>
      <c r="AK10">
        <f t="shared" si="3"/>
        <v>0</v>
      </c>
      <c r="AL10">
        <f t="shared" si="3"/>
        <v>0</v>
      </c>
      <c r="AM10">
        <f t="shared" si="3"/>
        <v>0</v>
      </c>
      <c r="AN10">
        <f t="shared" si="3"/>
        <v>0</v>
      </c>
      <c r="AO10">
        <f t="shared" si="3"/>
        <v>0</v>
      </c>
      <c r="AP10">
        <f t="shared" si="3"/>
        <v>0</v>
      </c>
      <c r="AQ10">
        <f t="shared" si="3"/>
        <v>0</v>
      </c>
      <c r="AR10">
        <f t="shared" si="3"/>
        <v>0</v>
      </c>
      <c r="AS10">
        <f t="shared" si="3"/>
        <v>0</v>
      </c>
      <c r="AT10">
        <f t="shared" si="3"/>
        <v>0</v>
      </c>
      <c r="AU10">
        <f t="shared" si="3"/>
        <v>0</v>
      </c>
      <c r="AV10">
        <f t="shared" si="3"/>
        <v>0</v>
      </c>
      <c r="AW10">
        <f t="shared" si="3"/>
        <v>0</v>
      </c>
      <c r="AX10">
        <f t="shared" si="3"/>
        <v>0</v>
      </c>
      <c r="AY10">
        <f t="shared" si="3"/>
        <v>0</v>
      </c>
      <c r="AZ10">
        <f t="shared" si="3"/>
        <v>0</v>
      </c>
      <c r="BA10">
        <f t="shared" si="3"/>
        <v>0</v>
      </c>
      <c r="BB10">
        <f t="shared" si="3"/>
        <v>0</v>
      </c>
      <c r="BC10">
        <f t="shared" si="3"/>
        <v>0</v>
      </c>
      <c r="BD10">
        <f t="shared" si="3"/>
        <v>0</v>
      </c>
      <c r="BE10">
        <f t="shared" si="3"/>
        <v>0</v>
      </c>
      <c r="BF10">
        <f t="shared" si="3"/>
        <v>0</v>
      </c>
      <c r="BG10">
        <f t="shared" si="3"/>
        <v>0</v>
      </c>
      <c r="BH10">
        <f t="shared" si="3"/>
        <v>0</v>
      </c>
      <c r="BI10">
        <f t="shared" si="3"/>
        <v>0</v>
      </c>
      <c r="BJ10">
        <f t="shared" si="3"/>
        <v>0</v>
      </c>
    </row>
    <row r="11" spans="1:62" x14ac:dyDescent="0.2">
      <c r="C11" s="79"/>
      <c r="D11" s="79"/>
      <c r="E11" s="79"/>
      <c r="F11" s="79"/>
      <c r="G11" s="79"/>
    </row>
    <row r="12" spans="1:62" x14ac:dyDescent="0.2">
      <c r="B12" t="s">
        <v>78</v>
      </c>
      <c r="C12" s="79">
        <v>0</v>
      </c>
      <c r="D12" s="79">
        <v>0</v>
      </c>
      <c r="E12" s="79">
        <v>1</v>
      </c>
      <c r="F12" s="79">
        <v>1</v>
      </c>
      <c r="G12" s="79">
        <v>1</v>
      </c>
      <c r="H12">
        <f t="shared" ref="H12:S12" si="4">G12</f>
        <v>1</v>
      </c>
      <c r="I12">
        <f t="shared" si="4"/>
        <v>1</v>
      </c>
      <c r="J12">
        <f t="shared" si="4"/>
        <v>1</v>
      </c>
      <c r="K12">
        <f t="shared" si="4"/>
        <v>1</v>
      </c>
      <c r="L12">
        <f t="shared" si="4"/>
        <v>1</v>
      </c>
      <c r="M12">
        <f t="shared" si="4"/>
        <v>1</v>
      </c>
      <c r="N12">
        <f t="shared" si="4"/>
        <v>1</v>
      </c>
      <c r="O12">
        <f t="shared" si="4"/>
        <v>1</v>
      </c>
      <c r="P12">
        <f t="shared" si="4"/>
        <v>1</v>
      </c>
      <c r="Q12">
        <f t="shared" si="4"/>
        <v>1</v>
      </c>
      <c r="R12">
        <f t="shared" si="4"/>
        <v>1</v>
      </c>
      <c r="S12">
        <f t="shared" si="4"/>
        <v>1</v>
      </c>
      <c r="T12">
        <f t="shared" ref="T12:BJ12" si="5">S12</f>
        <v>1</v>
      </c>
      <c r="U12">
        <f t="shared" si="5"/>
        <v>1</v>
      </c>
      <c r="V12">
        <f t="shared" si="5"/>
        <v>1</v>
      </c>
      <c r="W12">
        <f t="shared" si="5"/>
        <v>1</v>
      </c>
      <c r="X12">
        <f t="shared" si="5"/>
        <v>1</v>
      </c>
      <c r="Y12">
        <f t="shared" si="5"/>
        <v>1</v>
      </c>
      <c r="Z12">
        <f t="shared" si="5"/>
        <v>1</v>
      </c>
      <c r="AA12">
        <f t="shared" si="5"/>
        <v>1</v>
      </c>
      <c r="AB12">
        <f t="shared" si="5"/>
        <v>1</v>
      </c>
      <c r="AC12">
        <f t="shared" si="5"/>
        <v>1</v>
      </c>
      <c r="AD12">
        <f t="shared" si="5"/>
        <v>1</v>
      </c>
      <c r="AE12">
        <f t="shared" si="5"/>
        <v>1</v>
      </c>
      <c r="AF12">
        <f t="shared" si="5"/>
        <v>1</v>
      </c>
      <c r="AG12">
        <f t="shared" si="5"/>
        <v>1</v>
      </c>
      <c r="AH12">
        <f t="shared" si="5"/>
        <v>1</v>
      </c>
      <c r="AI12">
        <f t="shared" si="5"/>
        <v>1</v>
      </c>
      <c r="AJ12">
        <f t="shared" si="5"/>
        <v>1</v>
      </c>
      <c r="AK12">
        <f t="shared" si="5"/>
        <v>1</v>
      </c>
      <c r="AL12">
        <f t="shared" si="5"/>
        <v>1</v>
      </c>
      <c r="AM12">
        <f t="shared" si="5"/>
        <v>1</v>
      </c>
      <c r="AN12">
        <f t="shared" si="5"/>
        <v>1</v>
      </c>
      <c r="AO12">
        <f t="shared" si="5"/>
        <v>1</v>
      </c>
      <c r="AP12">
        <f t="shared" si="5"/>
        <v>1</v>
      </c>
      <c r="AQ12">
        <f t="shared" si="5"/>
        <v>1</v>
      </c>
      <c r="AR12">
        <f t="shared" si="5"/>
        <v>1</v>
      </c>
      <c r="AS12">
        <f t="shared" si="5"/>
        <v>1</v>
      </c>
      <c r="AT12">
        <f t="shared" si="5"/>
        <v>1</v>
      </c>
      <c r="AU12">
        <f t="shared" si="5"/>
        <v>1</v>
      </c>
      <c r="AV12">
        <f t="shared" si="5"/>
        <v>1</v>
      </c>
      <c r="AW12">
        <f t="shared" si="5"/>
        <v>1</v>
      </c>
      <c r="AX12">
        <f t="shared" si="5"/>
        <v>1</v>
      </c>
      <c r="AY12">
        <f t="shared" si="5"/>
        <v>1</v>
      </c>
      <c r="AZ12">
        <f t="shared" si="5"/>
        <v>1</v>
      </c>
      <c r="BA12">
        <f t="shared" si="5"/>
        <v>1</v>
      </c>
      <c r="BB12">
        <f t="shared" si="5"/>
        <v>1</v>
      </c>
      <c r="BC12">
        <f t="shared" si="5"/>
        <v>1</v>
      </c>
      <c r="BD12">
        <f t="shared" si="5"/>
        <v>1</v>
      </c>
      <c r="BE12">
        <f t="shared" si="5"/>
        <v>1</v>
      </c>
      <c r="BF12">
        <f t="shared" si="5"/>
        <v>1</v>
      </c>
      <c r="BG12">
        <f t="shared" si="5"/>
        <v>1</v>
      </c>
      <c r="BH12">
        <f t="shared" si="5"/>
        <v>1</v>
      </c>
      <c r="BI12">
        <f t="shared" si="5"/>
        <v>1</v>
      </c>
      <c r="BJ12">
        <f t="shared" si="5"/>
        <v>1</v>
      </c>
    </row>
    <row r="13" spans="1:62" x14ac:dyDescent="0.2">
      <c r="B13" t="s">
        <v>79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10">
        <f>ROUND(('Sales Detail'!H7+'Sales Detail'!H17)/OrdersPerWarehouseHelpPerson,0)</f>
        <v>0</v>
      </c>
      <c r="I13" s="10">
        <f>ROUND(('Sales Detail'!I7+'Sales Detail'!I17)/OrdersPerWarehouseHelpPerson,0)</f>
        <v>0</v>
      </c>
      <c r="J13" s="10">
        <f>ROUND(('Sales Detail'!J7+'Sales Detail'!J17)/OrdersPerWarehouseHelpPerson,0)</f>
        <v>0</v>
      </c>
      <c r="K13" s="10">
        <f>ROUND(('Sales Detail'!K7+'Sales Detail'!K17)/OrdersPerWarehouseHelpPerson,0)</f>
        <v>0</v>
      </c>
      <c r="L13" s="10">
        <f>ROUND(('Sales Detail'!L7+'Sales Detail'!L17)/OrdersPerWarehouseHelpPerson,0)</f>
        <v>0</v>
      </c>
      <c r="M13" s="10">
        <f>ROUND(('Sales Detail'!M7+'Sales Detail'!M17)/OrdersPerWarehouseHelpPerson,0)</f>
        <v>0</v>
      </c>
      <c r="N13" s="10">
        <f>ROUND(('Sales Detail'!N7+'Sales Detail'!N17)/OrdersPerWarehouseHelpPerson,0)</f>
        <v>0</v>
      </c>
      <c r="O13" s="10">
        <f>ROUND(('Sales Detail'!O7+'Sales Detail'!O17)/OrdersPerWarehouseHelpPerson,0)</f>
        <v>0</v>
      </c>
      <c r="P13" s="10">
        <f>ROUND(('Sales Detail'!P7+'Sales Detail'!P17)/OrdersPerWarehouseHelpPerson,0)</f>
        <v>0</v>
      </c>
      <c r="Q13" s="10">
        <f>ROUND(('Sales Detail'!Q7+'Sales Detail'!Q17)/OrdersPerWarehouseHelpPerson,0)</f>
        <v>0</v>
      </c>
      <c r="R13" s="10">
        <f>ROUND(('Sales Detail'!R7+'Sales Detail'!R17)/OrdersPerWarehouseHelpPerson,0)</f>
        <v>0</v>
      </c>
      <c r="S13" s="10">
        <f>ROUND(('Sales Detail'!S7+'Sales Detail'!S17)/OrdersPerWarehouseHelpPerson,0)</f>
        <v>0</v>
      </c>
      <c r="T13" s="10">
        <f>ROUND(('Sales Detail'!T7+'Sales Detail'!T17)/OrdersPerWarehouseHelpPerson,0)</f>
        <v>0</v>
      </c>
      <c r="U13" s="10">
        <f>ROUND(('Sales Detail'!U7+'Sales Detail'!U17)/OrdersPerWarehouseHelpPerson,0)</f>
        <v>0</v>
      </c>
      <c r="V13" s="10">
        <f>ROUND(('Sales Detail'!V7+'Sales Detail'!V17)/OrdersPerWarehouseHelpPerson,0)</f>
        <v>0</v>
      </c>
      <c r="W13" s="10">
        <f>ROUND(('Sales Detail'!W7+'Sales Detail'!W17)/OrdersPerWarehouseHelpPerson,0)</f>
        <v>0</v>
      </c>
      <c r="X13" s="10">
        <f>ROUND(('Sales Detail'!X7+'Sales Detail'!X17)/OrdersPerWarehouseHelpPerson,0)</f>
        <v>1</v>
      </c>
      <c r="Y13" s="10">
        <f>ROUND(('Sales Detail'!Y7+'Sales Detail'!Y17)/OrdersPerWarehouseHelpPerson,0)</f>
        <v>1</v>
      </c>
      <c r="Z13" s="10">
        <f>ROUND(('Sales Detail'!Z7+'Sales Detail'!Z17)/OrdersPerWarehouseHelpPerson,0)</f>
        <v>1</v>
      </c>
      <c r="AA13" s="10">
        <f>ROUND(('Sales Detail'!AA7+'Sales Detail'!AA17)/OrdersPerWarehouseHelpPerson,0)</f>
        <v>1</v>
      </c>
      <c r="AB13" s="10">
        <f>ROUND(('Sales Detail'!AB7+'Sales Detail'!AB17)/OrdersPerWarehouseHelpPerson,0)</f>
        <v>1</v>
      </c>
      <c r="AC13" s="10">
        <f>ROUND(('Sales Detail'!AC7+'Sales Detail'!AC17)/OrdersPerWarehouseHelpPerson,0)</f>
        <v>1</v>
      </c>
      <c r="AD13" s="10">
        <f>ROUND(('Sales Detail'!AD7+'Sales Detail'!AD17)/OrdersPerWarehouseHelpPerson,0)</f>
        <v>1</v>
      </c>
      <c r="AE13" s="10">
        <f>ROUND(('Sales Detail'!AE7+'Sales Detail'!AE17)/OrdersPerWarehouseHelpPerson,0)</f>
        <v>1</v>
      </c>
      <c r="AF13" s="10">
        <f>ROUND(('Sales Detail'!AF7+'Sales Detail'!AF17)/OrdersPerWarehouseHelpPerson,0)</f>
        <v>1</v>
      </c>
      <c r="AG13" s="10">
        <f>ROUND(('Sales Detail'!AG7+'Sales Detail'!AG17)/OrdersPerWarehouseHelpPerson,0)</f>
        <v>1</v>
      </c>
      <c r="AH13" s="10">
        <f>ROUND(('Sales Detail'!AH7+'Sales Detail'!AH17)/OrdersPerWarehouseHelpPerson,0)</f>
        <v>1</v>
      </c>
      <c r="AI13" s="10">
        <f>ROUND(('Sales Detail'!AI7+'Sales Detail'!AI17)/OrdersPerWarehouseHelpPerson,0)</f>
        <v>1</v>
      </c>
      <c r="AJ13" s="10">
        <f>ROUND(('Sales Detail'!AJ7+'Sales Detail'!AJ17)/OrdersPerWarehouseHelpPerson,0)</f>
        <v>1</v>
      </c>
      <c r="AK13" s="10">
        <f>ROUND(('Sales Detail'!AK7+'Sales Detail'!AK17)/OrdersPerWarehouseHelpPerson,0)</f>
        <v>1</v>
      </c>
      <c r="AL13" s="10">
        <f>ROUND(('Sales Detail'!AL7+'Sales Detail'!AL17)/OrdersPerWarehouseHelpPerson,0)</f>
        <v>1</v>
      </c>
      <c r="AM13" s="10">
        <f>ROUND(('Sales Detail'!AM7+'Sales Detail'!AM17)/OrdersPerWarehouseHelpPerson,0)</f>
        <v>1</v>
      </c>
      <c r="AN13" s="10">
        <f>ROUND(('Sales Detail'!AN7+'Sales Detail'!AN17)/OrdersPerWarehouseHelpPerson,0)</f>
        <v>1</v>
      </c>
      <c r="AO13" s="10">
        <f>ROUND(('Sales Detail'!AO7+'Sales Detail'!AO17)/OrdersPerWarehouseHelpPerson,0)</f>
        <v>1</v>
      </c>
      <c r="AP13" s="10">
        <f>ROUND(('Sales Detail'!AP7+'Sales Detail'!AP17)/OrdersPerWarehouseHelpPerson,0)</f>
        <v>1</v>
      </c>
      <c r="AQ13" s="10">
        <f>ROUND(('Sales Detail'!AQ7+'Sales Detail'!AQ17)/OrdersPerWarehouseHelpPerson,0)</f>
        <v>1</v>
      </c>
      <c r="AR13" s="10">
        <f>ROUND(('Sales Detail'!AR7+'Sales Detail'!AR17)/OrdersPerWarehouseHelpPerson,0)</f>
        <v>1</v>
      </c>
      <c r="AS13" s="10">
        <f>ROUND(('Sales Detail'!AS7+'Sales Detail'!AS17)/OrdersPerWarehouseHelpPerson,0)</f>
        <v>1</v>
      </c>
      <c r="AT13" s="10">
        <f>ROUND(('Sales Detail'!AT7+'Sales Detail'!AT17)/OrdersPerWarehouseHelpPerson,0)</f>
        <v>1</v>
      </c>
      <c r="AU13" s="10">
        <f>ROUND(('Sales Detail'!AU7+'Sales Detail'!AU17)/OrdersPerWarehouseHelpPerson,0)</f>
        <v>1</v>
      </c>
      <c r="AV13" s="10">
        <f>ROUND(('Sales Detail'!AV7+'Sales Detail'!AV17)/OrdersPerWarehouseHelpPerson,0)</f>
        <v>1</v>
      </c>
      <c r="AW13" s="10">
        <f>ROUND(('Sales Detail'!AW7+'Sales Detail'!AW17)/OrdersPerWarehouseHelpPerson,0)</f>
        <v>1</v>
      </c>
      <c r="AX13" s="10">
        <f>ROUND(('Sales Detail'!AX7+'Sales Detail'!AX17)/OrdersPerWarehouseHelpPerson,0)</f>
        <v>1</v>
      </c>
      <c r="AY13" s="10">
        <f>ROUND(('Sales Detail'!AY7+'Sales Detail'!AY17)/OrdersPerWarehouseHelpPerson,0)</f>
        <v>1</v>
      </c>
      <c r="AZ13" s="10">
        <f>ROUND(('Sales Detail'!AZ7+'Sales Detail'!AZ17)/OrdersPerWarehouseHelpPerson,0)</f>
        <v>1</v>
      </c>
      <c r="BA13" s="10">
        <f>ROUND(('Sales Detail'!BA7+'Sales Detail'!BA17)/OrdersPerWarehouseHelpPerson,0)</f>
        <v>1</v>
      </c>
      <c r="BB13" s="10">
        <f>ROUND(('Sales Detail'!BB7+'Sales Detail'!BB17)/OrdersPerWarehouseHelpPerson,0)</f>
        <v>1</v>
      </c>
      <c r="BC13" s="10">
        <f>ROUND(('Sales Detail'!BC7+'Sales Detail'!BC17)/OrdersPerWarehouseHelpPerson,0)</f>
        <v>1</v>
      </c>
      <c r="BD13" s="10">
        <f>ROUND(('Sales Detail'!BD7+'Sales Detail'!BD17)/OrdersPerWarehouseHelpPerson,0)</f>
        <v>1</v>
      </c>
      <c r="BE13" s="10">
        <f>ROUND(('Sales Detail'!BE7+'Sales Detail'!BE17)/OrdersPerWarehouseHelpPerson,0)</f>
        <v>2</v>
      </c>
      <c r="BF13" s="10">
        <f>ROUND(('Sales Detail'!BF7+'Sales Detail'!BF17)/OrdersPerWarehouseHelpPerson,0)</f>
        <v>2</v>
      </c>
      <c r="BG13" s="10">
        <f>ROUND(('Sales Detail'!BG7+'Sales Detail'!BG17)/OrdersPerWarehouseHelpPerson,0)</f>
        <v>2</v>
      </c>
      <c r="BH13" s="10">
        <f>ROUND(('Sales Detail'!BH7+'Sales Detail'!BH17)/OrdersPerWarehouseHelpPerson,0)</f>
        <v>2</v>
      </c>
      <c r="BI13" s="10">
        <f>ROUND(('Sales Detail'!BI7+'Sales Detail'!BI17)/OrdersPerWarehouseHelpPerson,0)</f>
        <v>2</v>
      </c>
      <c r="BJ13" s="10">
        <f>ROUND(('Sales Detail'!BJ7+'Sales Detail'!BJ17)/OrdersPerWarehouseHelpPerson,0)</f>
        <v>2</v>
      </c>
    </row>
    <row r="14" spans="1:62" s="7" customFormat="1" x14ac:dyDescent="0.2">
      <c r="B14" s="15" t="s">
        <v>85</v>
      </c>
      <c r="C14" s="98">
        <v>4</v>
      </c>
      <c r="D14" s="98">
        <v>4</v>
      </c>
      <c r="E14" s="98">
        <v>6</v>
      </c>
      <c r="F14" s="98">
        <v>7</v>
      </c>
      <c r="G14" s="98">
        <v>7</v>
      </c>
      <c r="H14" s="26">
        <f t="shared" ref="H14:BJ14" si="6">SUM(H4:H13)</f>
        <v>7</v>
      </c>
      <c r="I14" s="26">
        <f t="shared" si="6"/>
        <v>7</v>
      </c>
      <c r="J14" s="26">
        <f t="shared" si="6"/>
        <v>7</v>
      </c>
      <c r="K14" s="26">
        <f t="shared" si="6"/>
        <v>7</v>
      </c>
      <c r="L14" s="26">
        <f t="shared" si="6"/>
        <v>7</v>
      </c>
      <c r="M14" s="26">
        <f t="shared" si="6"/>
        <v>7</v>
      </c>
      <c r="N14" s="26">
        <f t="shared" si="6"/>
        <v>7</v>
      </c>
      <c r="O14" s="26">
        <f t="shared" si="6"/>
        <v>8</v>
      </c>
      <c r="P14" s="26">
        <f t="shared" si="6"/>
        <v>8</v>
      </c>
      <c r="Q14" s="26">
        <f t="shared" si="6"/>
        <v>8</v>
      </c>
      <c r="R14" s="26">
        <f t="shared" si="6"/>
        <v>8</v>
      </c>
      <c r="S14" s="26">
        <f t="shared" si="6"/>
        <v>8</v>
      </c>
      <c r="T14" s="26">
        <f t="shared" si="6"/>
        <v>8</v>
      </c>
      <c r="U14" s="26">
        <f t="shared" si="6"/>
        <v>8</v>
      </c>
      <c r="V14" s="26">
        <f t="shared" si="6"/>
        <v>8</v>
      </c>
      <c r="W14" s="26">
        <f t="shared" si="6"/>
        <v>8</v>
      </c>
      <c r="X14" s="26">
        <f t="shared" si="6"/>
        <v>9</v>
      </c>
      <c r="Y14" s="26">
        <f t="shared" si="6"/>
        <v>9</v>
      </c>
      <c r="Z14" s="26">
        <f t="shared" si="6"/>
        <v>9</v>
      </c>
      <c r="AA14" s="26">
        <f t="shared" si="6"/>
        <v>9</v>
      </c>
      <c r="AB14" s="26">
        <f t="shared" si="6"/>
        <v>9</v>
      </c>
      <c r="AC14" s="26">
        <f t="shared" si="6"/>
        <v>9</v>
      </c>
      <c r="AD14" s="26">
        <f t="shared" si="6"/>
        <v>9</v>
      </c>
      <c r="AE14" s="26">
        <f t="shared" si="6"/>
        <v>9</v>
      </c>
      <c r="AF14" s="26">
        <f t="shared" si="6"/>
        <v>9</v>
      </c>
      <c r="AG14" s="26">
        <f t="shared" si="6"/>
        <v>9</v>
      </c>
      <c r="AH14" s="26">
        <f t="shared" si="6"/>
        <v>9</v>
      </c>
      <c r="AI14" s="26">
        <f t="shared" si="6"/>
        <v>9</v>
      </c>
      <c r="AJ14" s="26">
        <f t="shared" si="6"/>
        <v>9</v>
      </c>
      <c r="AK14" s="26">
        <f t="shared" si="6"/>
        <v>9</v>
      </c>
      <c r="AL14" s="26">
        <f t="shared" si="6"/>
        <v>9</v>
      </c>
      <c r="AM14" s="26">
        <f t="shared" si="6"/>
        <v>9</v>
      </c>
      <c r="AN14" s="26">
        <f t="shared" si="6"/>
        <v>9</v>
      </c>
      <c r="AO14" s="26">
        <f t="shared" si="6"/>
        <v>9</v>
      </c>
      <c r="AP14" s="26">
        <f t="shared" si="6"/>
        <v>9</v>
      </c>
      <c r="AQ14" s="26">
        <f t="shared" si="6"/>
        <v>9</v>
      </c>
      <c r="AR14" s="26">
        <f t="shared" si="6"/>
        <v>9</v>
      </c>
      <c r="AS14" s="26">
        <f t="shared" si="6"/>
        <v>9</v>
      </c>
      <c r="AT14" s="26">
        <f t="shared" si="6"/>
        <v>9</v>
      </c>
      <c r="AU14" s="26">
        <f t="shared" si="6"/>
        <v>9</v>
      </c>
      <c r="AV14" s="26">
        <f t="shared" si="6"/>
        <v>9</v>
      </c>
      <c r="AW14" s="26">
        <f t="shared" si="6"/>
        <v>9</v>
      </c>
      <c r="AX14" s="26">
        <f t="shared" si="6"/>
        <v>9</v>
      </c>
      <c r="AY14" s="26">
        <f t="shared" si="6"/>
        <v>9</v>
      </c>
      <c r="AZ14" s="26">
        <f t="shared" si="6"/>
        <v>9</v>
      </c>
      <c r="BA14" s="26">
        <f t="shared" si="6"/>
        <v>9</v>
      </c>
      <c r="BB14" s="26">
        <f t="shared" si="6"/>
        <v>9</v>
      </c>
      <c r="BC14" s="26">
        <f t="shared" si="6"/>
        <v>9</v>
      </c>
      <c r="BD14" s="26">
        <f t="shared" si="6"/>
        <v>9</v>
      </c>
      <c r="BE14" s="26">
        <f t="shared" si="6"/>
        <v>10</v>
      </c>
      <c r="BF14" s="26">
        <f t="shared" si="6"/>
        <v>10</v>
      </c>
      <c r="BG14" s="26">
        <f t="shared" si="6"/>
        <v>10</v>
      </c>
      <c r="BH14" s="26">
        <f t="shared" si="6"/>
        <v>10</v>
      </c>
      <c r="BI14" s="26">
        <f t="shared" si="6"/>
        <v>10</v>
      </c>
      <c r="BJ14" s="26">
        <f t="shared" si="6"/>
        <v>10</v>
      </c>
    </row>
    <row r="15" spans="1:62" x14ac:dyDescent="0.2">
      <c r="C15" s="79"/>
      <c r="D15" s="79"/>
      <c r="E15" s="79"/>
      <c r="F15" s="79"/>
      <c r="G15" s="79"/>
    </row>
    <row r="16" spans="1:62" x14ac:dyDescent="0.2">
      <c r="C16" s="79"/>
      <c r="D16" s="79"/>
      <c r="E16" s="79"/>
      <c r="F16" s="79"/>
      <c r="G16" s="79"/>
    </row>
    <row r="17" spans="1:62" x14ac:dyDescent="0.2">
      <c r="A17" s="9">
        <v>75000</v>
      </c>
      <c r="B17" t="s">
        <v>72</v>
      </c>
      <c r="C17" s="80">
        <v>6250</v>
      </c>
      <c r="D17" s="80">
        <v>6250</v>
      </c>
      <c r="E17" s="80">
        <v>6250</v>
      </c>
      <c r="F17" s="80">
        <v>6250</v>
      </c>
      <c r="G17" s="80">
        <v>6250</v>
      </c>
      <c r="H17" s="22">
        <f t="shared" ref="H17:AH17" si="7">H4*$A17/12</f>
        <v>6250</v>
      </c>
      <c r="I17" s="22">
        <f t="shared" si="7"/>
        <v>6250</v>
      </c>
      <c r="J17" s="22">
        <f t="shared" si="7"/>
        <v>6250</v>
      </c>
      <c r="K17" s="22">
        <f t="shared" si="7"/>
        <v>6250</v>
      </c>
      <c r="L17" s="22">
        <f t="shared" si="7"/>
        <v>6250</v>
      </c>
      <c r="M17" s="22">
        <f t="shared" si="7"/>
        <v>6250</v>
      </c>
      <c r="N17" s="22">
        <f t="shared" si="7"/>
        <v>6250</v>
      </c>
      <c r="O17" s="22">
        <f t="shared" si="7"/>
        <v>6250</v>
      </c>
      <c r="P17" s="22">
        <f t="shared" si="7"/>
        <v>6250</v>
      </c>
      <c r="Q17" s="22">
        <f t="shared" si="7"/>
        <v>6250</v>
      </c>
      <c r="R17" s="22">
        <f t="shared" si="7"/>
        <v>6250</v>
      </c>
      <c r="S17" s="22">
        <f t="shared" si="7"/>
        <v>6250</v>
      </c>
      <c r="T17" s="22">
        <f t="shared" si="7"/>
        <v>6250</v>
      </c>
      <c r="U17" s="22">
        <f t="shared" si="7"/>
        <v>6250</v>
      </c>
      <c r="V17" s="22">
        <f t="shared" si="7"/>
        <v>6250</v>
      </c>
      <c r="W17" s="22">
        <f t="shared" si="7"/>
        <v>6250</v>
      </c>
      <c r="X17" s="22">
        <f t="shared" si="7"/>
        <v>6250</v>
      </c>
      <c r="Y17" s="22">
        <f t="shared" si="7"/>
        <v>6250</v>
      </c>
      <c r="Z17" s="22">
        <f t="shared" si="7"/>
        <v>6250</v>
      </c>
      <c r="AA17" s="22">
        <f t="shared" si="7"/>
        <v>6250</v>
      </c>
      <c r="AB17" s="22">
        <f t="shared" si="7"/>
        <v>6250</v>
      </c>
      <c r="AC17" s="22">
        <f t="shared" si="7"/>
        <v>6250</v>
      </c>
      <c r="AD17" s="22">
        <f t="shared" si="7"/>
        <v>6250</v>
      </c>
      <c r="AE17" s="22">
        <f t="shared" si="7"/>
        <v>6250</v>
      </c>
      <c r="AF17" s="22">
        <f t="shared" si="7"/>
        <v>6250</v>
      </c>
      <c r="AG17" s="22">
        <f t="shared" si="7"/>
        <v>6250</v>
      </c>
      <c r="AH17" s="22">
        <f t="shared" si="7"/>
        <v>6250</v>
      </c>
      <c r="AI17" s="22">
        <f t="shared" ref="AI17:BJ17" si="8">AI4*$A17/12</f>
        <v>6250</v>
      </c>
      <c r="AJ17" s="22">
        <f t="shared" si="8"/>
        <v>6250</v>
      </c>
      <c r="AK17" s="22">
        <f t="shared" si="8"/>
        <v>6250</v>
      </c>
      <c r="AL17" s="22">
        <f t="shared" si="8"/>
        <v>6250</v>
      </c>
      <c r="AM17" s="22">
        <f t="shared" si="8"/>
        <v>6250</v>
      </c>
      <c r="AN17" s="22">
        <f t="shared" si="8"/>
        <v>6250</v>
      </c>
      <c r="AO17" s="22">
        <f t="shared" si="8"/>
        <v>6250</v>
      </c>
      <c r="AP17" s="22">
        <f t="shared" si="8"/>
        <v>6250</v>
      </c>
      <c r="AQ17" s="22">
        <f t="shared" si="8"/>
        <v>6250</v>
      </c>
      <c r="AR17" s="22">
        <f t="shared" si="8"/>
        <v>6250</v>
      </c>
      <c r="AS17" s="22">
        <f t="shared" si="8"/>
        <v>6250</v>
      </c>
      <c r="AT17" s="22">
        <f t="shared" si="8"/>
        <v>6250</v>
      </c>
      <c r="AU17" s="22">
        <f t="shared" si="8"/>
        <v>6250</v>
      </c>
      <c r="AV17" s="22">
        <f t="shared" si="8"/>
        <v>6250</v>
      </c>
      <c r="AW17" s="22">
        <f t="shared" si="8"/>
        <v>6250</v>
      </c>
      <c r="AX17" s="22">
        <f t="shared" si="8"/>
        <v>6250</v>
      </c>
      <c r="AY17" s="22">
        <f t="shared" si="8"/>
        <v>6250</v>
      </c>
      <c r="AZ17" s="22">
        <f t="shared" si="8"/>
        <v>6250</v>
      </c>
      <c r="BA17" s="22">
        <f t="shared" si="8"/>
        <v>6250</v>
      </c>
      <c r="BB17" s="22">
        <f t="shared" si="8"/>
        <v>6250</v>
      </c>
      <c r="BC17" s="22">
        <f t="shared" si="8"/>
        <v>6250</v>
      </c>
      <c r="BD17" s="22">
        <f t="shared" si="8"/>
        <v>6250</v>
      </c>
      <c r="BE17" s="22">
        <f t="shared" si="8"/>
        <v>6250</v>
      </c>
      <c r="BF17" s="22">
        <f t="shared" si="8"/>
        <v>6250</v>
      </c>
      <c r="BG17" s="22">
        <f t="shared" si="8"/>
        <v>6250</v>
      </c>
      <c r="BH17" s="22">
        <f t="shared" si="8"/>
        <v>6250</v>
      </c>
      <c r="BI17" s="22">
        <f t="shared" si="8"/>
        <v>6250</v>
      </c>
      <c r="BJ17" s="22">
        <f t="shared" si="8"/>
        <v>6250</v>
      </c>
    </row>
    <row r="18" spans="1:62" x14ac:dyDescent="0.2">
      <c r="A18" s="9">
        <v>75000</v>
      </c>
      <c r="B18" t="s">
        <v>73</v>
      </c>
      <c r="C18" s="80">
        <v>6250</v>
      </c>
      <c r="D18" s="80">
        <v>6250</v>
      </c>
      <c r="E18" s="80">
        <v>6250</v>
      </c>
      <c r="F18" s="80">
        <v>6250</v>
      </c>
      <c r="G18" s="80">
        <v>6250</v>
      </c>
      <c r="H18" s="22">
        <f t="shared" ref="H18:AH18" si="9">H5*$A18/12</f>
        <v>6250</v>
      </c>
      <c r="I18" s="22">
        <f t="shared" si="9"/>
        <v>6250</v>
      </c>
      <c r="J18" s="22">
        <f t="shared" si="9"/>
        <v>6250</v>
      </c>
      <c r="K18" s="22">
        <f t="shared" si="9"/>
        <v>6250</v>
      </c>
      <c r="L18" s="22">
        <f t="shared" si="9"/>
        <v>6250</v>
      </c>
      <c r="M18" s="22">
        <f t="shared" si="9"/>
        <v>6250</v>
      </c>
      <c r="N18" s="22">
        <f t="shared" si="9"/>
        <v>6250</v>
      </c>
      <c r="O18" s="22">
        <f t="shared" si="9"/>
        <v>6250</v>
      </c>
      <c r="P18" s="22">
        <f t="shared" si="9"/>
        <v>6250</v>
      </c>
      <c r="Q18" s="22">
        <f t="shared" si="9"/>
        <v>6250</v>
      </c>
      <c r="R18" s="22">
        <f t="shared" si="9"/>
        <v>6250</v>
      </c>
      <c r="S18" s="22">
        <f t="shared" si="9"/>
        <v>6250</v>
      </c>
      <c r="T18" s="22">
        <f t="shared" si="9"/>
        <v>6250</v>
      </c>
      <c r="U18" s="22">
        <f t="shared" si="9"/>
        <v>6250</v>
      </c>
      <c r="V18" s="22">
        <f t="shared" si="9"/>
        <v>6250</v>
      </c>
      <c r="W18" s="22">
        <f t="shared" si="9"/>
        <v>6250</v>
      </c>
      <c r="X18" s="22">
        <f t="shared" si="9"/>
        <v>6250</v>
      </c>
      <c r="Y18" s="22">
        <f t="shared" si="9"/>
        <v>6250</v>
      </c>
      <c r="Z18" s="22">
        <f t="shared" si="9"/>
        <v>6250</v>
      </c>
      <c r="AA18" s="22">
        <f t="shared" si="9"/>
        <v>6250</v>
      </c>
      <c r="AB18" s="22">
        <f t="shared" si="9"/>
        <v>6250</v>
      </c>
      <c r="AC18" s="22">
        <f t="shared" si="9"/>
        <v>6250</v>
      </c>
      <c r="AD18" s="22">
        <f t="shared" si="9"/>
        <v>6250</v>
      </c>
      <c r="AE18" s="22">
        <f t="shared" si="9"/>
        <v>6250</v>
      </c>
      <c r="AF18" s="22">
        <f t="shared" si="9"/>
        <v>6250</v>
      </c>
      <c r="AG18" s="22">
        <f t="shared" si="9"/>
        <v>6250</v>
      </c>
      <c r="AH18" s="22">
        <f t="shared" si="9"/>
        <v>6250</v>
      </c>
      <c r="AI18" s="22">
        <f t="shared" ref="AI18:BJ18" si="10">AI5*$A18/12</f>
        <v>6250</v>
      </c>
      <c r="AJ18" s="22">
        <f t="shared" si="10"/>
        <v>6250</v>
      </c>
      <c r="AK18" s="22">
        <f t="shared" si="10"/>
        <v>6250</v>
      </c>
      <c r="AL18" s="22">
        <f t="shared" si="10"/>
        <v>6250</v>
      </c>
      <c r="AM18" s="22">
        <f t="shared" si="10"/>
        <v>6250</v>
      </c>
      <c r="AN18" s="22">
        <f t="shared" si="10"/>
        <v>6250</v>
      </c>
      <c r="AO18" s="22">
        <f t="shared" si="10"/>
        <v>6250</v>
      </c>
      <c r="AP18" s="22">
        <f t="shared" si="10"/>
        <v>6250</v>
      </c>
      <c r="AQ18" s="22">
        <f t="shared" si="10"/>
        <v>6250</v>
      </c>
      <c r="AR18" s="22">
        <f t="shared" si="10"/>
        <v>6250</v>
      </c>
      <c r="AS18" s="22">
        <f t="shared" si="10"/>
        <v>6250</v>
      </c>
      <c r="AT18" s="22">
        <f t="shared" si="10"/>
        <v>6250</v>
      </c>
      <c r="AU18" s="22">
        <f t="shared" si="10"/>
        <v>6250</v>
      </c>
      <c r="AV18" s="22">
        <f t="shared" si="10"/>
        <v>6250</v>
      </c>
      <c r="AW18" s="22">
        <f t="shared" si="10"/>
        <v>6250</v>
      </c>
      <c r="AX18" s="22">
        <f t="shared" si="10"/>
        <v>6250</v>
      </c>
      <c r="AY18" s="22">
        <f t="shared" si="10"/>
        <v>6250</v>
      </c>
      <c r="AZ18" s="22">
        <f t="shared" si="10"/>
        <v>6250</v>
      </c>
      <c r="BA18" s="22">
        <f t="shared" si="10"/>
        <v>6250</v>
      </c>
      <c r="BB18" s="22">
        <f t="shared" si="10"/>
        <v>6250</v>
      </c>
      <c r="BC18" s="22">
        <f t="shared" si="10"/>
        <v>6250</v>
      </c>
      <c r="BD18" s="22">
        <f t="shared" si="10"/>
        <v>6250</v>
      </c>
      <c r="BE18" s="22">
        <f t="shared" si="10"/>
        <v>6250</v>
      </c>
      <c r="BF18" s="22">
        <f t="shared" si="10"/>
        <v>6250</v>
      </c>
      <c r="BG18" s="22">
        <f t="shared" si="10"/>
        <v>6250</v>
      </c>
      <c r="BH18" s="22">
        <f t="shared" si="10"/>
        <v>6250</v>
      </c>
      <c r="BI18" s="22">
        <f t="shared" si="10"/>
        <v>6250</v>
      </c>
      <c r="BJ18" s="22">
        <f t="shared" si="10"/>
        <v>6250</v>
      </c>
    </row>
    <row r="19" spans="1:62" x14ac:dyDescent="0.2">
      <c r="A19" s="9">
        <v>100000</v>
      </c>
      <c r="B19" t="s">
        <v>75</v>
      </c>
      <c r="C19" s="80">
        <v>8333.3333333333339</v>
      </c>
      <c r="D19" s="80">
        <v>8333.3333333333339</v>
      </c>
      <c r="E19" s="80">
        <v>8333.3333333333339</v>
      </c>
      <c r="F19" s="80">
        <v>16666.666666666668</v>
      </c>
      <c r="G19" s="80">
        <v>16666.666666666668</v>
      </c>
      <c r="H19" s="22">
        <f t="shared" ref="H19:AH19" si="11">H6*$A19/12</f>
        <v>16666.666666666668</v>
      </c>
      <c r="I19" s="22">
        <f t="shared" si="11"/>
        <v>16666.666666666668</v>
      </c>
      <c r="J19" s="22">
        <f t="shared" si="11"/>
        <v>16666.666666666668</v>
      </c>
      <c r="K19" s="22">
        <f t="shared" si="11"/>
        <v>16666.666666666668</v>
      </c>
      <c r="L19" s="22">
        <f t="shared" si="11"/>
        <v>16666.666666666668</v>
      </c>
      <c r="M19" s="22">
        <f t="shared" si="11"/>
        <v>16666.666666666668</v>
      </c>
      <c r="N19" s="22">
        <f t="shared" si="11"/>
        <v>16666.666666666668</v>
      </c>
      <c r="O19" s="22">
        <f t="shared" si="11"/>
        <v>25000</v>
      </c>
      <c r="P19" s="22">
        <f t="shared" si="11"/>
        <v>25000</v>
      </c>
      <c r="Q19" s="22">
        <f t="shared" si="11"/>
        <v>25000</v>
      </c>
      <c r="R19" s="22">
        <f t="shared" si="11"/>
        <v>25000</v>
      </c>
      <c r="S19" s="22">
        <f t="shared" si="11"/>
        <v>25000</v>
      </c>
      <c r="T19" s="22">
        <f t="shared" si="11"/>
        <v>25000</v>
      </c>
      <c r="U19" s="22">
        <f t="shared" si="11"/>
        <v>25000</v>
      </c>
      <c r="V19" s="22">
        <f t="shared" si="11"/>
        <v>25000</v>
      </c>
      <c r="W19" s="22">
        <f t="shared" si="11"/>
        <v>25000</v>
      </c>
      <c r="X19" s="22">
        <f t="shared" si="11"/>
        <v>25000</v>
      </c>
      <c r="Y19" s="22">
        <f t="shared" si="11"/>
        <v>25000</v>
      </c>
      <c r="Z19" s="22">
        <f t="shared" si="11"/>
        <v>25000</v>
      </c>
      <c r="AA19" s="22">
        <f t="shared" si="11"/>
        <v>25000</v>
      </c>
      <c r="AB19" s="22">
        <f t="shared" si="11"/>
        <v>25000</v>
      </c>
      <c r="AC19" s="22">
        <f t="shared" si="11"/>
        <v>25000</v>
      </c>
      <c r="AD19" s="22">
        <f t="shared" si="11"/>
        <v>25000</v>
      </c>
      <c r="AE19" s="22">
        <f t="shared" si="11"/>
        <v>25000</v>
      </c>
      <c r="AF19" s="22">
        <f t="shared" si="11"/>
        <v>25000</v>
      </c>
      <c r="AG19" s="22">
        <f t="shared" si="11"/>
        <v>25000</v>
      </c>
      <c r="AH19" s="22">
        <f t="shared" si="11"/>
        <v>25000</v>
      </c>
      <c r="AI19" s="22">
        <f t="shared" ref="AI19:BJ19" si="12">AI6*$A19/12</f>
        <v>25000</v>
      </c>
      <c r="AJ19" s="22">
        <f t="shared" si="12"/>
        <v>25000</v>
      </c>
      <c r="AK19" s="22">
        <f t="shared" si="12"/>
        <v>25000</v>
      </c>
      <c r="AL19" s="22">
        <f t="shared" si="12"/>
        <v>25000</v>
      </c>
      <c r="AM19" s="22">
        <f t="shared" si="12"/>
        <v>25000</v>
      </c>
      <c r="AN19" s="22">
        <f t="shared" si="12"/>
        <v>25000</v>
      </c>
      <c r="AO19" s="22">
        <f t="shared" si="12"/>
        <v>25000</v>
      </c>
      <c r="AP19" s="22">
        <f t="shared" si="12"/>
        <v>25000</v>
      </c>
      <c r="AQ19" s="22">
        <f t="shared" si="12"/>
        <v>25000</v>
      </c>
      <c r="AR19" s="22">
        <f t="shared" si="12"/>
        <v>25000</v>
      </c>
      <c r="AS19" s="22">
        <f t="shared" si="12"/>
        <v>25000</v>
      </c>
      <c r="AT19" s="22">
        <f t="shared" si="12"/>
        <v>25000</v>
      </c>
      <c r="AU19" s="22">
        <f t="shared" si="12"/>
        <v>25000</v>
      </c>
      <c r="AV19" s="22">
        <f t="shared" si="12"/>
        <v>25000</v>
      </c>
      <c r="AW19" s="22">
        <f t="shared" si="12"/>
        <v>25000</v>
      </c>
      <c r="AX19" s="22">
        <f t="shared" si="12"/>
        <v>25000</v>
      </c>
      <c r="AY19" s="22">
        <f t="shared" si="12"/>
        <v>25000</v>
      </c>
      <c r="AZ19" s="22">
        <f t="shared" si="12"/>
        <v>25000</v>
      </c>
      <c r="BA19" s="22">
        <f t="shared" si="12"/>
        <v>25000</v>
      </c>
      <c r="BB19" s="22">
        <f t="shared" si="12"/>
        <v>25000</v>
      </c>
      <c r="BC19" s="22">
        <f t="shared" si="12"/>
        <v>25000</v>
      </c>
      <c r="BD19" s="22">
        <f t="shared" si="12"/>
        <v>25000</v>
      </c>
      <c r="BE19" s="22">
        <f t="shared" si="12"/>
        <v>25000</v>
      </c>
      <c r="BF19" s="22">
        <f t="shared" si="12"/>
        <v>25000</v>
      </c>
      <c r="BG19" s="22">
        <f t="shared" si="12"/>
        <v>25000</v>
      </c>
      <c r="BH19" s="22">
        <f t="shared" si="12"/>
        <v>25000</v>
      </c>
      <c r="BI19" s="22">
        <f t="shared" si="12"/>
        <v>25000</v>
      </c>
      <c r="BJ19" s="22">
        <f t="shared" si="12"/>
        <v>25000</v>
      </c>
    </row>
    <row r="20" spans="1:62" x14ac:dyDescent="0.2">
      <c r="A20" s="9">
        <v>80000</v>
      </c>
      <c r="B20" t="s">
        <v>76</v>
      </c>
      <c r="C20" s="80">
        <v>0</v>
      </c>
      <c r="D20" s="80">
        <v>0</v>
      </c>
      <c r="E20" s="80">
        <v>6666.666666666667</v>
      </c>
      <c r="F20" s="80">
        <v>6666.666666666667</v>
      </c>
      <c r="G20" s="80">
        <v>6666.666666666667</v>
      </c>
      <c r="H20" s="22">
        <f t="shared" ref="H20:AH20" si="13">H7*$A20/12</f>
        <v>6666.666666666667</v>
      </c>
      <c r="I20" s="22">
        <f t="shared" si="13"/>
        <v>6666.666666666667</v>
      </c>
      <c r="J20" s="22">
        <f t="shared" si="13"/>
        <v>6666.666666666667</v>
      </c>
      <c r="K20" s="22">
        <f t="shared" si="13"/>
        <v>6666.666666666667</v>
      </c>
      <c r="L20" s="22">
        <f t="shared" si="13"/>
        <v>6666.666666666667</v>
      </c>
      <c r="M20" s="22">
        <f t="shared" si="13"/>
        <v>6666.666666666667</v>
      </c>
      <c r="N20" s="22">
        <f t="shared" si="13"/>
        <v>6666.666666666667</v>
      </c>
      <c r="O20" s="22">
        <f t="shared" si="13"/>
        <v>6666.666666666667</v>
      </c>
      <c r="P20" s="22">
        <f t="shared" si="13"/>
        <v>6666.666666666667</v>
      </c>
      <c r="Q20" s="22">
        <f t="shared" si="13"/>
        <v>6666.666666666667</v>
      </c>
      <c r="R20" s="22">
        <f t="shared" si="13"/>
        <v>6666.666666666667</v>
      </c>
      <c r="S20" s="22">
        <f t="shared" si="13"/>
        <v>6666.666666666667</v>
      </c>
      <c r="T20" s="22">
        <f t="shared" si="13"/>
        <v>6666.666666666667</v>
      </c>
      <c r="U20" s="22">
        <f t="shared" si="13"/>
        <v>6666.666666666667</v>
      </c>
      <c r="V20" s="22">
        <f t="shared" si="13"/>
        <v>6666.666666666667</v>
      </c>
      <c r="W20" s="22">
        <f t="shared" si="13"/>
        <v>6666.666666666667</v>
      </c>
      <c r="X20" s="22">
        <f t="shared" si="13"/>
        <v>6666.666666666667</v>
      </c>
      <c r="Y20" s="22">
        <f t="shared" si="13"/>
        <v>6666.666666666667</v>
      </c>
      <c r="Z20" s="22">
        <f t="shared" si="13"/>
        <v>6666.666666666667</v>
      </c>
      <c r="AA20" s="22">
        <f t="shared" si="13"/>
        <v>6666.666666666667</v>
      </c>
      <c r="AB20" s="22">
        <f t="shared" si="13"/>
        <v>6666.666666666667</v>
      </c>
      <c r="AC20" s="22">
        <f t="shared" si="13"/>
        <v>6666.666666666667</v>
      </c>
      <c r="AD20" s="22">
        <f t="shared" si="13"/>
        <v>6666.666666666667</v>
      </c>
      <c r="AE20" s="22">
        <f t="shared" si="13"/>
        <v>6666.666666666667</v>
      </c>
      <c r="AF20" s="22">
        <f t="shared" si="13"/>
        <v>6666.666666666667</v>
      </c>
      <c r="AG20" s="22">
        <f t="shared" si="13"/>
        <v>6666.666666666667</v>
      </c>
      <c r="AH20" s="22">
        <f t="shared" si="13"/>
        <v>6666.666666666667</v>
      </c>
      <c r="AI20" s="22">
        <f t="shared" ref="AI20:BJ20" si="14">AI7*$A20/12</f>
        <v>6666.666666666667</v>
      </c>
      <c r="AJ20" s="22">
        <f t="shared" si="14"/>
        <v>6666.666666666667</v>
      </c>
      <c r="AK20" s="22">
        <f t="shared" si="14"/>
        <v>6666.666666666667</v>
      </c>
      <c r="AL20" s="22">
        <f t="shared" si="14"/>
        <v>6666.666666666667</v>
      </c>
      <c r="AM20" s="22">
        <f t="shared" si="14"/>
        <v>6666.666666666667</v>
      </c>
      <c r="AN20" s="22">
        <f t="shared" si="14"/>
        <v>6666.666666666667</v>
      </c>
      <c r="AO20" s="22">
        <f t="shared" si="14"/>
        <v>6666.666666666667</v>
      </c>
      <c r="AP20" s="22">
        <f t="shared" si="14"/>
        <v>6666.666666666667</v>
      </c>
      <c r="AQ20" s="22">
        <f t="shared" si="14"/>
        <v>6666.666666666667</v>
      </c>
      <c r="AR20" s="22">
        <f t="shared" si="14"/>
        <v>6666.666666666667</v>
      </c>
      <c r="AS20" s="22">
        <f t="shared" si="14"/>
        <v>6666.666666666667</v>
      </c>
      <c r="AT20" s="22">
        <f t="shared" si="14"/>
        <v>6666.666666666667</v>
      </c>
      <c r="AU20" s="22">
        <f t="shared" si="14"/>
        <v>6666.666666666667</v>
      </c>
      <c r="AV20" s="22">
        <f t="shared" si="14"/>
        <v>6666.666666666667</v>
      </c>
      <c r="AW20" s="22">
        <f t="shared" si="14"/>
        <v>6666.666666666667</v>
      </c>
      <c r="AX20" s="22">
        <f t="shared" si="14"/>
        <v>6666.666666666667</v>
      </c>
      <c r="AY20" s="22">
        <f t="shared" si="14"/>
        <v>6666.666666666667</v>
      </c>
      <c r="AZ20" s="22">
        <f t="shared" si="14"/>
        <v>6666.666666666667</v>
      </c>
      <c r="BA20" s="22">
        <f t="shared" si="14"/>
        <v>6666.666666666667</v>
      </c>
      <c r="BB20" s="22">
        <f t="shared" si="14"/>
        <v>6666.666666666667</v>
      </c>
      <c r="BC20" s="22">
        <f t="shared" si="14"/>
        <v>6666.666666666667</v>
      </c>
      <c r="BD20" s="22">
        <f t="shared" si="14"/>
        <v>6666.666666666667</v>
      </c>
      <c r="BE20" s="22">
        <f t="shared" si="14"/>
        <v>6666.666666666667</v>
      </c>
      <c r="BF20" s="22">
        <f t="shared" si="14"/>
        <v>6666.666666666667</v>
      </c>
      <c r="BG20" s="22">
        <f t="shared" si="14"/>
        <v>6666.666666666667</v>
      </c>
      <c r="BH20" s="22">
        <f t="shared" si="14"/>
        <v>6666.666666666667</v>
      </c>
      <c r="BI20" s="22">
        <f t="shared" si="14"/>
        <v>6666.666666666667</v>
      </c>
      <c r="BJ20" s="22">
        <f t="shared" si="14"/>
        <v>6666.666666666667</v>
      </c>
    </row>
    <row r="21" spans="1:62" x14ac:dyDescent="0.2">
      <c r="A21" s="9"/>
      <c r="C21" s="80"/>
      <c r="D21" s="80"/>
      <c r="E21" s="80"/>
      <c r="F21" s="80"/>
      <c r="G21" s="80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</row>
    <row r="22" spans="1:62" x14ac:dyDescent="0.2">
      <c r="A22" s="9">
        <v>90000</v>
      </c>
      <c r="B22" t="s">
        <v>74</v>
      </c>
      <c r="C22" s="80">
        <v>7500</v>
      </c>
      <c r="D22" s="80">
        <v>7500</v>
      </c>
      <c r="E22" s="80">
        <v>7500</v>
      </c>
      <c r="F22" s="80">
        <v>7500</v>
      </c>
      <c r="G22" s="80">
        <v>7500</v>
      </c>
      <c r="H22" s="22">
        <f t="shared" ref="H22:AH22" si="15">H9*$A22/12</f>
        <v>7500</v>
      </c>
      <c r="I22" s="22">
        <f t="shared" si="15"/>
        <v>7500</v>
      </c>
      <c r="J22" s="22">
        <f t="shared" si="15"/>
        <v>7500</v>
      </c>
      <c r="K22" s="22">
        <f t="shared" si="15"/>
        <v>7500</v>
      </c>
      <c r="L22" s="22">
        <f t="shared" si="15"/>
        <v>7500</v>
      </c>
      <c r="M22" s="22">
        <f t="shared" si="15"/>
        <v>7500</v>
      </c>
      <c r="N22" s="22">
        <f t="shared" si="15"/>
        <v>7500</v>
      </c>
      <c r="O22" s="22">
        <f t="shared" si="15"/>
        <v>7500</v>
      </c>
      <c r="P22" s="22">
        <f t="shared" si="15"/>
        <v>7500</v>
      </c>
      <c r="Q22" s="22">
        <f t="shared" si="15"/>
        <v>7500</v>
      </c>
      <c r="R22" s="22">
        <f t="shared" si="15"/>
        <v>7500</v>
      </c>
      <c r="S22" s="22">
        <f t="shared" si="15"/>
        <v>7500</v>
      </c>
      <c r="T22" s="22">
        <f t="shared" si="15"/>
        <v>7500</v>
      </c>
      <c r="U22" s="22">
        <f t="shared" si="15"/>
        <v>7500</v>
      </c>
      <c r="V22" s="22">
        <f t="shared" si="15"/>
        <v>7500</v>
      </c>
      <c r="W22" s="22">
        <f t="shared" si="15"/>
        <v>7500</v>
      </c>
      <c r="X22" s="22">
        <f t="shared" si="15"/>
        <v>7500</v>
      </c>
      <c r="Y22" s="22">
        <f t="shared" si="15"/>
        <v>7500</v>
      </c>
      <c r="Z22" s="22">
        <f t="shared" si="15"/>
        <v>7500</v>
      </c>
      <c r="AA22" s="22">
        <f t="shared" si="15"/>
        <v>7500</v>
      </c>
      <c r="AB22" s="22">
        <f t="shared" si="15"/>
        <v>7500</v>
      </c>
      <c r="AC22" s="22">
        <f t="shared" si="15"/>
        <v>7500</v>
      </c>
      <c r="AD22" s="22">
        <f t="shared" si="15"/>
        <v>7500</v>
      </c>
      <c r="AE22" s="22">
        <f t="shared" si="15"/>
        <v>7500</v>
      </c>
      <c r="AF22" s="22">
        <f t="shared" si="15"/>
        <v>7500</v>
      </c>
      <c r="AG22" s="22">
        <f t="shared" si="15"/>
        <v>7500</v>
      </c>
      <c r="AH22" s="22">
        <f t="shared" si="15"/>
        <v>7500</v>
      </c>
      <c r="AI22" s="22">
        <f t="shared" ref="AI22:BJ22" si="16">AI9*$A22/12</f>
        <v>7500</v>
      </c>
      <c r="AJ22" s="22">
        <f t="shared" si="16"/>
        <v>7500</v>
      </c>
      <c r="AK22" s="22">
        <f t="shared" si="16"/>
        <v>7500</v>
      </c>
      <c r="AL22" s="22">
        <f t="shared" si="16"/>
        <v>7500</v>
      </c>
      <c r="AM22" s="22">
        <f t="shared" si="16"/>
        <v>7500</v>
      </c>
      <c r="AN22" s="22">
        <f t="shared" si="16"/>
        <v>7500</v>
      </c>
      <c r="AO22" s="22">
        <f t="shared" si="16"/>
        <v>7500</v>
      </c>
      <c r="AP22" s="22">
        <f t="shared" si="16"/>
        <v>7500</v>
      </c>
      <c r="AQ22" s="22">
        <f t="shared" si="16"/>
        <v>7500</v>
      </c>
      <c r="AR22" s="22">
        <f t="shared" si="16"/>
        <v>7500</v>
      </c>
      <c r="AS22" s="22">
        <f t="shared" si="16"/>
        <v>7500</v>
      </c>
      <c r="AT22" s="22">
        <f t="shared" si="16"/>
        <v>7500</v>
      </c>
      <c r="AU22" s="22">
        <f t="shared" si="16"/>
        <v>7500</v>
      </c>
      <c r="AV22" s="22">
        <f t="shared" si="16"/>
        <v>7500</v>
      </c>
      <c r="AW22" s="22">
        <f t="shared" si="16"/>
        <v>7500</v>
      </c>
      <c r="AX22" s="22">
        <f t="shared" si="16"/>
        <v>7500</v>
      </c>
      <c r="AY22" s="22">
        <f t="shared" si="16"/>
        <v>7500</v>
      </c>
      <c r="AZ22" s="22">
        <f t="shared" si="16"/>
        <v>7500</v>
      </c>
      <c r="BA22" s="22">
        <f t="shared" si="16"/>
        <v>7500</v>
      </c>
      <c r="BB22" s="22">
        <f t="shared" si="16"/>
        <v>7500</v>
      </c>
      <c r="BC22" s="22">
        <f t="shared" si="16"/>
        <v>7500</v>
      </c>
      <c r="BD22" s="22">
        <f t="shared" si="16"/>
        <v>7500</v>
      </c>
      <c r="BE22" s="22">
        <f t="shared" si="16"/>
        <v>7500</v>
      </c>
      <c r="BF22" s="22">
        <f t="shared" si="16"/>
        <v>7500</v>
      </c>
      <c r="BG22" s="22">
        <f t="shared" si="16"/>
        <v>7500</v>
      </c>
      <c r="BH22" s="22">
        <f t="shared" si="16"/>
        <v>7500</v>
      </c>
      <c r="BI22" s="22">
        <f t="shared" si="16"/>
        <v>7500</v>
      </c>
      <c r="BJ22" s="22">
        <f t="shared" si="16"/>
        <v>7500</v>
      </c>
    </row>
    <row r="23" spans="1:62" x14ac:dyDescent="0.2">
      <c r="A23" s="9">
        <v>60000</v>
      </c>
      <c r="B23" t="s">
        <v>77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22">
        <f t="shared" ref="H23:AH23" si="17">H10*$A23/12</f>
        <v>0</v>
      </c>
      <c r="I23" s="22">
        <f t="shared" si="17"/>
        <v>0</v>
      </c>
      <c r="J23" s="22">
        <f t="shared" si="17"/>
        <v>0</v>
      </c>
      <c r="K23" s="22">
        <f t="shared" si="17"/>
        <v>0</v>
      </c>
      <c r="L23" s="22">
        <f t="shared" si="17"/>
        <v>0</v>
      </c>
      <c r="M23" s="22">
        <f t="shared" si="17"/>
        <v>0</v>
      </c>
      <c r="N23" s="22">
        <f t="shared" si="17"/>
        <v>0</v>
      </c>
      <c r="O23" s="22">
        <f t="shared" si="17"/>
        <v>0</v>
      </c>
      <c r="P23" s="22">
        <f t="shared" si="17"/>
        <v>0</v>
      </c>
      <c r="Q23" s="22">
        <f t="shared" si="17"/>
        <v>0</v>
      </c>
      <c r="R23" s="22">
        <f t="shared" si="17"/>
        <v>0</v>
      </c>
      <c r="S23" s="22">
        <f t="shared" si="17"/>
        <v>0</v>
      </c>
      <c r="T23" s="22">
        <f t="shared" si="17"/>
        <v>0</v>
      </c>
      <c r="U23" s="22">
        <f t="shared" si="17"/>
        <v>0</v>
      </c>
      <c r="V23" s="22">
        <f t="shared" si="17"/>
        <v>0</v>
      </c>
      <c r="W23" s="22">
        <f t="shared" si="17"/>
        <v>0</v>
      </c>
      <c r="X23" s="22">
        <f t="shared" si="17"/>
        <v>0</v>
      </c>
      <c r="Y23" s="22">
        <f t="shared" si="17"/>
        <v>0</v>
      </c>
      <c r="Z23" s="22">
        <f t="shared" si="17"/>
        <v>0</v>
      </c>
      <c r="AA23" s="22">
        <f t="shared" si="17"/>
        <v>0</v>
      </c>
      <c r="AB23" s="22">
        <f t="shared" si="17"/>
        <v>0</v>
      </c>
      <c r="AC23" s="22">
        <f t="shared" si="17"/>
        <v>0</v>
      </c>
      <c r="AD23" s="22">
        <f t="shared" si="17"/>
        <v>0</v>
      </c>
      <c r="AE23" s="22">
        <f t="shared" si="17"/>
        <v>0</v>
      </c>
      <c r="AF23" s="22">
        <f t="shared" si="17"/>
        <v>0</v>
      </c>
      <c r="AG23" s="22">
        <f t="shared" si="17"/>
        <v>0</v>
      </c>
      <c r="AH23" s="22">
        <f t="shared" si="17"/>
        <v>0</v>
      </c>
      <c r="AI23" s="22">
        <f t="shared" ref="AI23:BJ23" si="18">AI10*$A23/12</f>
        <v>0</v>
      </c>
      <c r="AJ23" s="22">
        <f t="shared" si="18"/>
        <v>0</v>
      </c>
      <c r="AK23" s="22">
        <f t="shared" si="18"/>
        <v>0</v>
      </c>
      <c r="AL23" s="22">
        <f t="shared" si="18"/>
        <v>0</v>
      </c>
      <c r="AM23" s="22">
        <f t="shared" si="18"/>
        <v>0</v>
      </c>
      <c r="AN23" s="22">
        <f t="shared" si="18"/>
        <v>0</v>
      </c>
      <c r="AO23" s="22">
        <f t="shared" si="18"/>
        <v>0</v>
      </c>
      <c r="AP23" s="22">
        <f t="shared" si="18"/>
        <v>0</v>
      </c>
      <c r="AQ23" s="22">
        <f t="shared" si="18"/>
        <v>0</v>
      </c>
      <c r="AR23" s="22">
        <f t="shared" si="18"/>
        <v>0</v>
      </c>
      <c r="AS23" s="22">
        <f t="shared" si="18"/>
        <v>0</v>
      </c>
      <c r="AT23" s="22">
        <f t="shared" si="18"/>
        <v>0</v>
      </c>
      <c r="AU23" s="22">
        <f t="shared" si="18"/>
        <v>0</v>
      </c>
      <c r="AV23" s="22">
        <f t="shared" si="18"/>
        <v>0</v>
      </c>
      <c r="AW23" s="22">
        <f t="shared" si="18"/>
        <v>0</v>
      </c>
      <c r="AX23" s="22">
        <f t="shared" si="18"/>
        <v>0</v>
      </c>
      <c r="AY23" s="22">
        <f t="shared" si="18"/>
        <v>0</v>
      </c>
      <c r="AZ23" s="22">
        <f t="shared" si="18"/>
        <v>0</v>
      </c>
      <c r="BA23" s="22">
        <f t="shared" si="18"/>
        <v>0</v>
      </c>
      <c r="BB23" s="22">
        <f t="shared" si="18"/>
        <v>0</v>
      </c>
      <c r="BC23" s="22">
        <f t="shared" si="18"/>
        <v>0</v>
      </c>
      <c r="BD23" s="22">
        <f t="shared" si="18"/>
        <v>0</v>
      </c>
      <c r="BE23" s="22">
        <f t="shared" si="18"/>
        <v>0</v>
      </c>
      <c r="BF23" s="22">
        <f t="shared" si="18"/>
        <v>0</v>
      </c>
      <c r="BG23" s="22">
        <f t="shared" si="18"/>
        <v>0</v>
      </c>
      <c r="BH23" s="22">
        <f t="shared" si="18"/>
        <v>0</v>
      </c>
      <c r="BI23" s="22">
        <f t="shared" si="18"/>
        <v>0</v>
      </c>
      <c r="BJ23" s="22">
        <f t="shared" si="18"/>
        <v>0</v>
      </c>
    </row>
    <row r="24" spans="1:62" x14ac:dyDescent="0.2">
      <c r="A24" s="9"/>
      <c r="C24" s="80"/>
      <c r="D24" s="80"/>
      <c r="E24" s="80"/>
      <c r="F24" s="80"/>
      <c r="G24" s="80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</row>
    <row r="25" spans="1:62" x14ac:dyDescent="0.2">
      <c r="A25" s="9">
        <v>70000</v>
      </c>
      <c r="B25" t="s">
        <v>78</v>
      </c>
      <c r="C25" s="80">
        <v>0</v>
      </c>
      <c r="D25" s="80">
        <v>0</v>
      </c>
      <c r="E25" s="80">
        <v>5833.333333333333</v>
      </c>
      <c r="F25" s="80">
        <v>5833.333333333333</v>
      </c>
      <c r="G25" s="80">
        <v>5833.333333333333</v>
      </c>
      <c r="H25" s="22">
        <f t="shared" ref="H25:AH25" si="19">H12*$A25/12</f>
        <v>5833.333333333333</v>
      </c>
      <c r="I25" s="22">
        <f t="shared" si="19"/>
        <v>5833.333333333333</v>
      </c>
      <c r="J25" s="22">
        <f t="shared" si="19"/>
        <v>5833.333333333333</v>
      </c>
      <c r="K25" s="22">
        <f t="shared" si="19"/>
        <v>5833.333333333333</v>
      </c>
      <c r="L25" s="22">
        <f t="shared" si="19"/>
        <v>5833.333333333333</v>
      </c>
      <c r="M25" s="22">
        <f t="shared" si="19"/>
        <v>5833.333333333333</v>
      </c>
      <c r="N25" s="22">
        <f t="shared" si="19"/>
        <v>5833.333333333333</v>
      </c>
      <c r="O25" s="22">
        <f t="shared" si="19"/>
        <v>5833.333333333333</v>
      </c>
      <c r="P25" s="22">
        <f t="shared" si="19"/>
        <v>5833.333333333333</v>
      </c>
      <c r="Q25" s="22">
        <f t="shared" si="19"/>
        <v>5833.333333333333</v>
      </c>
      <c r="R25" s="22">
        <f t="shared" si="19"/>
        <v>5833.333333333333</v>
      </c>
      <c r="S25" s="22">
        <f t="shared" si="19"/>
        <v>5833.333333333333</v>
      </c>
      <c r="T25" s="22">
        <f t="shared" si="19"/>
        <v>5833.333333333333</v>
      </c>
      <c r="U25" s="22">
        <f t="shared" si="19"/>
        <v>5833.333333333333</v>
      </c>
      <c r="V25" s="22">
        <f t="shared" si="19"/>
        <v>5833.333333333333</v>
      </c>
      <c r="W25" s="22">
        <f t="shared" si="19"/>
        <v>5833.333333333333</v>
      </c>
      <c r="X25" s="22">
        <f t="shared" si="19"/>
        <v>5833.333333333333</v>
      </c>
      <c r="Y25" s="22">
        <f t="shared" si="19"/>
        <v>5833.333333333333</v>
      </c>
      <c r="Z25" s="22">
        <f t="shared" si="19"/>
        <v>5833.333333333333</v>
      </c>
      <c r="AA25" s="22">
        <f t="shared" si="19"/>
        <v>5833.333333333333</v>
      </c>
      <c r="AB25" s="22">
        <f t="shared" si="19"/>
        <v>5833.333333333333</v>
      </c>
      <c r="AC25" s="22">
        <f t="shared" si="19"/>
        <v>5833.333333333333</v>
      </c>
      <c r="AD25" s="22">
        <f t="shared" si="19"/>
        <v>5833.333333333333</v>
      </c>
      <c r="AE25" s="22">
        <f t="shared" si="19"/>
        <v>5833.333333333333</v>
      </c>
      <c r="AF25" s="22">
        <f t="shared" si="19"/>
        <v>5833.333333333333</v>
      </c>
      <c r="AG25" s="22">
        <f t="shared" si="19"/>
        <v>5833.333333333333</v>
      </c>
      <c r="AH25" s="22">
        <f t="shared" si="19"/>
        <v>5833.333333333333</v>
      </c>
      <c r="AI25" s="22">
        <f t="shared" ref="AI25:BJ25" si="20">AI12*$A25/12</f>
        <v>5833.333333333333</v>
      </c>
      <c r="AJ25" s="22">
        <f t="shared" si="20"/>
        <v>5833.333333333333</v>
      </c>
      <c r="AK25" s="22">
        <f t="shared" si="20"/>
        <v>5833.333333333333</v>
      </c>
      <c r="AL25" s="22">
        <f t="shared" si="20"/>
        <v>5833.333333333333</v>
      </c>
      <c r="AM25" s="22">
        <f t="shared" si="20"/>
        <v>5833.333333333333</v>
      </c>
      <c r="AN25" s="22">
        <f t="shared" si="20"/>
        <v>5833.333333333333</v>
      </c>
      <c r="AO25" s="22">
        <f t="shared" si="20"/>
        <v>5833.333333333333</v>
      </c>
      <c r="AP25" s="22">
        <f t="shared" si="20"/>
        <v>5833.333333333333</v>
      </c>
      <c r="AQ25" s="22">
        <f t="shared" si="20"/>
        <v>5833.333333333333</v>
      </c>
      <c r="AR25" s="22">
        <f t="shared" si="20"/>
        <v>5833.333333333333</v>
      </c>
      <c r="AS25" s="22">
        <f t="shared" si="20"/>
        <v>5833.333333333333</v>
      </c>
      <c r="AT25" s="22">
        <f t="shared" si="20"/>
        <v>5833.333333333333</v>
      </c>
      <c r="AU25" s="22">
        <f t="shared" si="20"/>
        <v>5833.333333333333</v>
      </c>
      <c r="AV25" s="22">
        <f t="shared" si="20"/>
        <v>5833.333333333333</v>
      </c>
      <c r="AW25" s="22">
        <f t="shared" si="20"/>
        <v>5833.333333333333</v>
      </c>
      <c r="AX25" s="22">
        <f t="shared" si="20"/>
        <v>5833.333333333333</v>
      </c>
      <c r="AY25" s="22">
        <f t="shared" si="20"/>
        <v>5833.333333333333</v>
      </c>
      <c r="AZ25" s="22">
        <f t="shared" si="20"/>
        <v>5833.333333333333</v>
      </c>
      <c r="BA25" s="22">
        <f t="shared" si="20"/>
        <v>5833.333333333333</v>
      </c>
      <c r="BB25" s="22">
        <f t="shared" si="20"/>
        <v>5833.333333333333</v>
      </c>
      <c r="BC25" s="22">
        <f t="shared" si="20"/>
        <v>5833.333333333333</v>
      </c>
      <c r="BD25" s="22">
        <f t="shared" si="20"/>
        <v>5833.333333333333</v>
      </c>
      <c r="BE25" s="22">
        <f t="shared" si="20"/>
        <v>5833.333333333333</v>
      </c>
      <c r="BF25" s="22">
        <f t="shared" si="20"/>
        <v>5833.333333333333</v>
      </c>
      <c r="BG25" s="22">
        <f t="shared" si="20"/>
        <v>5833.333333333333</v>
      </c>
      <c r="BH25" s="22">
        <f t="shared" si="20"/>
        <v>5833.333333333333</v>
      </c>
      <c r="BI25" s="22">
        <f t="shared" si="20"/>
        <v>5833.333333333333</v>
      </c>
      <c r="BJ25" s="22">
        <f t="shared" si="20"/>
        <v>5833.333333333333</v>
      </c>
    </row>
    <row r="26" spans="1:62" x14ac:dyDescent="0.2">
      <c r="A26" s="9">
        <v>40000</v>
      </c>
      <c r="B26" t="s">
        <v>79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22">
        <f t="shared" ref="H26:AH26" si="21">H13*$A26/12</f>
        <v>0</v>
      </c>
      <c r="I26" s="22">
        <f t="shared" si="21"/>
        <v>0</v>
      </c>
      <c r="J26" s="22">
        <f t="shared" si="21"/>
        <v>0</v>
      </c>
      <c r="K26" s="22">
        <f t="shared" si="21"/>
        <v>0</v>
      </c>
      <c r="L26" s="22">
        <f t="shared" si="21"/>
        <v>0</v>
      </c>
      <c r="M26" s="22">
        <f t="shared" si="21"/>
        <v>0</v>
      </c>
      <c r="N26" s="22">
        <f t="shared" si="21"/>
        <v>0</v>
      </c>
      <c r="O26" s="22">
        <f t="shared" si="21"/>
        <v>0</v>
      </c>
      <c r="P26" s="22">
        <f t="shared" si="21"/>
        <v>0</v>
      </c>
      <c r="Q26" s="22">
        <f t="shared" si="21"/>
        <v>0</v>
      </c>
      <c r="R26" s="22">
        <f t="shared" si="21"/>
        <v>0</v>
      </c>
      <c r="S26" s="22">
        <f t="shared" si="21"/>
        <v>0</v>
      </c>
      <c r="T26" s="22">
        <f t="shared" si="21"/>
        <v>0</v>
      </c>
      <c r="U26" s="22">
        <f t="shared" si="21"/>
        <v>0</v>
      </c>
      <c r="V26" s="22">
        <f t="shared" si="21"/>
        <v>0</v>
      </c>
      <c r="W26" s="22">
        <f t="shared" si="21"/>
        <v>0</v>
      </c>
      <c r="X26" s="22">
        <f t="shared" si="21"/>
        <v>3333.3333333333335</v>
      </c>
      <c r="Y26" s="22">
        <f t="shared" si="21"/>
        <v>3333.3333333333335</v>
      </c>
      <c r="Z26" s="22">
        <f t="shared" si="21"/>
        <v>3333.3333333333335</v>
      </c>
      <c r="AA26" s="22">
        <f t="shared" si="21"/>
        <v>3333.3333333333335</v>
      </c>
      <c r="AB26" s="22">
        <f t="shared" si="21"/>
        <v>3333.3333333333335</v>
      </c>
      <c r="AC26" s="22">
        <f t="shared" si="21"/>
        <v>3333.3333333333335</v>
      </c>
      <c r="AD26" s="22">
        <f t="shared" si="21"/>
        <v>3333.3333333333335</v>
      </c>
      <c r="AE26" s="22">
        <f t="shared" si="21"/>
        <v>3333.3333333333335</v>
      </c>
      <c r="AF26" s="22">
        <f t="shared" si="21"/>
        <v>3333.3333333333335</v>
      </c>
      <c r="AG26" s="22">
        <f t="shared" si="21"/>
        <v>3333.3333333333335</v>
      </c>
      <c r="AH26" s="22">
        <f t="shared" si="21"/>
        <v>3333.3333333333335</v>
      </c>
      <c r="AI26" s="22">
        <f t="shared" ref="AI26:BJ26" si="22">AI13*$A26/12</f>
        <v>3333.3333333333335</v>
      </c>
      <c r="AJ26" s="22">
        <f t="shared" si="22"/>
        <v>3333.3333333333335</v>
      </c>
      <c r="AK26" s="22">
        <f t="shared" si="22"/>
        <v>3333.3333333333335</v>
      </c>
      <c r="AL26" s="22">
        <f t="shared" si="22"/>
        <v>3333.3333333333335</v>
      </c>
      <c r="AM26" s="22">
        <f t="shared" si="22"/>
        <v>3333.3333333333335</v>
      </c>
      <c r="AN26" s="22">
        <f t="shared" si="22"/>
        <v>3333.3333333333335</v>
      </c>
      <c r="AO26" s="22">
        <f t="shared" si="22"/>
        <v>3333.3333333333335</v>
      </c>
      <c r="AP26" s="22">
        <f t="shared" si="22"/>
        <v>3333.3333333333335</v>
      </c>
      <c r="AQ26" s="22">
        <f t="shared" si="22"/>
        <v>3333.3333333333335</v>
      </c>
      <c r="AR26" s="22">
        <f t="shared" si="22"/>
        <v>3333.3333333333335</v>
      </c>
      <c r="AS26" s="22">
        <f t="shared" si="22"/>
        <v>3333.3333333333335</v>
      </c>
      <c r="AT26" s="22">
        <f t="shared" si="22"/>
        <v>3333.3333333333335</v>
      </c>
      <c r="AU26" s="22">
        <f t="shared" si="22"/>
        <v>3333.3333333333335</v>
      </c>
      <c r="AV26" s="22">
        <f t="shared" si="22"/>
        <v>3333.3333333333335</v>
      </c>
      <c r="AW26" s="22">
        <f t="shared" si="22"/>
        <v>3333.3333333333335</v>
      </c>
      <c r="AX26" s="22">
        <f t="shared" si="22"/>
        <v>3333.3333333333335</v>
      </c>
      <c r="AY26" s="22">
        <f t="shared" si="22"/>
        <v>3333.3333333333335</v>
      </c>
      <c r="AZ26" s="22">
        <f t="shared" si="22"/>
        <v>3333.3333333333335</v>
      </c>
      <c r="BA26" s="22">
        <f t="shared" si="22"/>
        <v>3333.3333333333335</v>
      </c>
      <c r="BB26" s="22">
        <f t="shared" si="22"/>
        <v>3333.3333333333335</v>
      </c>
      <c r="BC26" s="22">
        <f t="shared" si="22"/>
        <v>3333.3333333333335</v>
      </c>
      <c r="BD26" s="22">
        <f t="shared" si="22"/>
        <v>3333.3333333333335</v>
      </c>
      <c r="BE26" s="22">
        <f t="shared" si="22"/>
        <v>6666.666666666667</v>
      </c>
      <c r="BF26" s="22">
        <f t="shared" si="22"/>
        <v>6666.666666666667</v>
      </c>
      <c r="BG26" s="22">
        <f t="shared" si="22"/>
        <v>6666.666666666667</v>
      </c>
      <c r="BH26" s="22">
        <f t="shared" si="22"/>
        <v>6666.666666666667</v>
      </c>
      <c r="BI26" s="22">
        <f t="shared" si="22"/>
        <v>6666.666666666667</v>
      </c>
      <c r="BJ26" s="22">
        <f t="shared" si="22"/>
        <v>6666.666666666667</v>
      </c>
    </row>
    <row r="27" spans="1:62" x14ac:dyDescent="0.2">
      <c r="C27" s="79"/>
      <c r="D27" s="79"/>
      <c r="E27" s="79"/>
      <c r="F27" s="79"/>
      <c r="G27" s="79"/>
    </row>
    <row r="28" spans="1:62" x14ac:dyDescent="0.2">
      <c r="B28" t="s">
        <v>81</v>
      </c>
      <c r="C28" s="77">
        <v>28333.333333333336</v>
      </c>
      <c r="D28" s="77">
        <v>28333.333333333336</v>
      </c>
      <c r="E28" s="77">
        <v>40833.333333333336</v>
      </c>
      <c r="F28" s="77">
        <v>49166.666666666672</v>
      </c>
      <c r="G28" s="77">
        <v>49166.666666666672</v>
      </c>
      <c r="H28" s="9">
        <f t="shared" ref="H28:BF28" si="23">SUM(H16:H27)</f>
        <v>49166.666666666672</v>
      </c>
      <c r="I28" s="9">
        <f t="shared" si="23"/>
        <v>49166.666666666672</v>
      </c>
      <c r="J28" s="9">
        <f t="shared" si="23"/>
        <v>49166.666666666672</v>
      </c>
      <c r="K28" s="9">
        <f t="shared" si="23"/>
        <v>49166.666666666672</v>
      </c>
      <c r="L28" s="9">
        <f t="shared" si="23"/>
        <v>49166.666666666672</v>
      </c>
      <c r="M28" s="9">
        <f t="shared" si="23"/>
        <v>49166.666666666672</v>
      </c>
      <c r="N28" s="9">
        <f t="shared" si="23"/>
        <v>49166.666666666672</v>
      </c>
      <c r="O28" s="9">
        <f t="shared" si="23"/>
        <v>57500</v>
      </c>
      <c r="P28" s="9">
        <f t="shared" si="23"/>
        <v>57500</v>
      </c>
      <c r="Q28" s="9">
        <f t="shared" si="23"/>
        <v>57500</v>
      </c>
      <c r="R28" s="9">
        <f t="shared" si="23"/>
        <v>57500</v>
      </c>
      <c r="S28" s="9">
        <f t="shared" si="23"/>
        <v>57500</v>
      </c>
      <c r="T28" s="9">
        <f t="shared" si="23"/>
        <v>57500</v>
      </c>
      <c r="U28" s="9">
        <f t="shared" si="23"/>
        <v>57500</v>
      </c>
      <c r="V28" s="9">
        <f t="shared" si="23"/>
        <v>57500</v>
      </c>
      <c r="W28" s="9">
        <f t="shared" si="23"/>
        <v>57500</v>
      </c>
      <c r="X28" s="9">
        <f t="shared" si="23"/>
        <v>60833.333333333336</v>
      </c>
      <c r="Y28" s="9">
        <f t="shared" si="23"/>
        <v>60833.333333333336</v>
      </c>
      <c r="Z28" s="9">
        <f t="shared" si="23"/>
        <v>60833.333333333336</v>
      </c>
      <c r="AA28" s="9">
        <f t="shared" si="23"/>
        <v>60833.333333333336</v>
      </c>
      <c r="AB28" s="9">
        <f t="shared" si="23"/>
        <v>60833.333333333336</v>
      </c>
      <c r="AC28" s="9">
        <f t="shared" si="23"/>
        <v>60833.333333333336</v>
      </c>
      <c r="AD28" s="9">
        <f t="shared" si="23"/>
        <v>60833.333333333336</v>
      </c>
      <c r="AE28" s="9">
        <f t="shared" si="23"/>
        <v>60833.333333333336</v>
      </c>
      <c r="AF28" s="9">
        <f t="shared" si="23"/>
        <v>60833.333333333336</v>
      </c>
      <c r="AG28" s="9">
        <f t="shared" si="23"/>
        <v>60833.333333333336</v>
      </c>
      <c r="AH28" s="9">
        <f t="shared" si="23"/>
        <v>60833.333333333336</v>
      </c>
      <c r="AI28" s="9">
        <f t="shared" si="23"/>
        <v>60833.333333333336</v>
      </c>
      <c r="AJ28" s="9">
        <f t="shared" si="23"/>
        <v>60833.333333333336</v>
      </c>
      <c r="AK28" s="9">
        <f t="shared" si="23"/>
        <v>60833.333333333336</v>
      </c>
      <c r="AL28" s="9">
        <f t="shared" si="23"/>
        <v>60833.333333333336</v>
      </c>
      <c r="AM28" s="9">
        <f t="shared" si="23"/>
        <v>60833.333333333336</v>
      </c>
      <c r="AN28" s="9">
        <f t="shared" si="23"/>
        <v>60833.333333333336</v>
      </c>
      <c r="AO28" s="9">
        <f t="shared" si="23"/>
        <v>60833.333333333336</v>
      </c>
      <c r="AP28" s="9">
        <f t="shared" si="23"/>
        <v>60833.333333333336</v>
      </c>
      <c r="AQ28" s="9">
        <f t="shared" si="23"/>
        <v>60833.333333333336</v>
      </c>
      <c r="AR28" s="9">
        <f t="shared" si="23"/>
        <v>60833.333333333336</v>
      </c>
      <c r="AS28" s="9">
        <f t="shared" si="23"/>
        <v>60833.333333333336</v>
      </c>
      <c r="AT28" s="9">
        <f t="shared" si="23"/>
        <v>60833.333333333336</v>
      </c>
      <c r="AU28" s="9">
        <f t="shared" si="23"/>
        <v>60833.333333333336</v>
      </c>
      <c r="AV28" s="9">
        <f t="shared" si="23"/>
        <v>60833.333333333336</v>
      </c>
      <c r="AW28" s="9">
        <f t="shared" si="23"/>
        <v>60833.333333333336</v>
      </c>
      <c r="AX28" s="9">
        <f t="shared" si="23"/>
        <v>60833.333333333336</v>
      </c>
      <c r="AY28" s="9">
        <f t="shared" si="23"/>
        <v>60833.333333333336</v>
      </c>
      <c r="AZ28" s="9">
        <f t="shared" si="23"/>
        <v>60833.333333333336</v>
      </c>
      <c r="BA28" s="9">
        <f t="shared" si="23"/>
        <v>60833.333333333336</v>
      </c>
      <c r="BB28" s="9">
        <f t="shared" si="23"/>
        <v>60833.333333333336</v>
      </c>
      <c r="BC28" s="9">
        <f t="shared" si="23"/>
        <v>60833.333333333336</v>
      </c>
      <c r="BD28" s="9">
        <f t="shared" si="23"/>
        <v>60833.333333333336</v>
      </c>
      <c r="BE28" s="9">
        <f t="shared" si="23"/>
        <v>64166.666666666664</v>
      </c>
      <c r="BF28" s="9">
        <f t="shared" si="23"/>
        <v>64166.666666666664</v>
      </c>
      <c r="BG28" s="9">
        <f>SUM(BG16:BG27)</f>
        <v>64166.666666666664</v>
      </c>
      <c r="BH28" s="9">
        <f t="shared" ref="BH28" si="24">SUM(BH16:BH27)</f>
        <v>64166.666666666664</v>
      </c>
      <c r="BI28" s="9">
        <f t="shared" ref="BI28" si="25">SUM(BI16:BI27)</f>
        <v>64166.666666666664</v>
      </c>
      <c r="BJ28" s="9">
        <f t="shared" ref="BJ28" si="26">SUM(BJ16:BJ27)</f>
        <v>64166.666666666664</v>
      </c>
    </row>
    <row r="29" spans="1:62" s="9" customFormat="1" x14ac:dyDescent="0.2">
      <c r="B29" s="9" t="s">
        <v>83</v>
      </c>
      <c r="C29" s="77">
        <v>7083.3333333333339</v>
      </c>
      <c r="D29" s="77">
        <v>7083.3333333333339</v>
      </c>
      <c r="E29" s="77">
        <v>10208.333333333334</v>
      </c>
      <c r="F29" s="77">
        <v>12291.666666666668</v>
      </c>
      <c r="G29" s="77">
        <v>12291.666666666668</v>
      </c>
      <c r="H29" s="9">
        <f t="shared" ref="H29:AH29" si="27">H28*TaxesAndBenefits</f>
        <v>12291.666666666668</v>
      </c>
      <c r="I29" s="9">
        <f t="shared" si="27"/>
        <v>12291.666666666668</v>
      </c>
      <c r="J29" s="9">
        <f t="shared" si="27"/>
        <v>12291.666666666668</v>
      </c>
      <c r="K29" s="9">
        <f t="shared" si="27"/>
        <v>12291.666666666668</v>
      </c>
      <c r="L29" s="9">
        <f t="shared" si="27"/>
        <v>12291.666666666668</v>
      </c>
      <c r="M29" s="9">
        <f t="shared" si="27"/>
        <v>12291.666666666668</v>
      </c>
      <c r="N29" s="9">
        <f t="shared" si="27"/>
        <v>12291.666666666668</v>
      </c>
      <c r="O29" s="9">
        <f t="shared" si="27"/>
        <v>14375</v>
      </c>
      <c r="P29" s="9">
        <f t="shared" si="27"/>
        <v>14375</v>
      </c>
      <c r="Q29" s="9">
        <f t="shared" si="27"/>
        <v>14375</v>
      </c>
      <c r="R29" s="9">
        <f t="shared" si="27"/>
        <v>14375</v>
      </c>
      <c r="S29" s="9">
        <f t="shared" si="27"/>
        <v>14375</v>
      </c>
      <c r="T29" s="9">
        <f t="shared" si="27"/>
        <v>14375</v>
      </c>
      <c r="U29" s="9">
        <f t="shared" si="27"/>
        <v>14375</v>
      </c>
      <c r="V29" s="9">
        <f t="shared" si="27"/>
        <v>14375</v>
      </c>
      <c r="W29" s="9">
        <f t="shared" si="27"/>
        <v>14375</v>
      </c>
      <c r="X29" s="9">
        <f t="shared" si="27"/>
        <v>15208.333333333334</v>
      </c>
      <c r="Y29" s="9">
        <f t="shared" si="27"/>
        <v>15208.333333333334</v>
      </c>
      <c r="Z29" s="9">
        <f t="shared" si="27"/>
        <v>15208.333333333334</v>
      </c>
      <c r="AA29" s="9">
        <f t="shared" si="27"/>
        <v>15208.333333333334</v>
      </c>
      <c r="AB29" s="9">
        <f t="shared" si="27"/>
        <v>15208.333333333334</v>
      </c>
      <c r="AC29" s="9">
        <f t="shared" si="27"/>
        <v>15208.333333333334</v>
      </c>
      <c r="AD29" s="9">
        <f t="shared" si="27"/>
        <v>15208.333333333334</v>
      </c>
      <c r="AE29" s="9">
        <f t="shared" si="27"/>
        <v>15208.333333333334</v>
      </c>
      <c r="AF29" s="9">
        <f t="shared" si="27"/>
        <v>15208.333333333334</v>
      </c>
      <c r="AG29" s="9">
        <f t="shared" si="27"/>
        <v>15208.333333333334</v>
      </c>
      <c r="AH29" s="9">
        <f t="shared" si="27"/>
        <v>15208.333333333334</v>
      </c>
      <c r="AI29" s="9">
        <f t="shared" ref="AI29:BJ29" si="28">AI28*TaxesAndBenefits</f>
        <v>15208.333333333334</v>
      </c>
      <c r="AJ29" s="9">
        <f t="shared" si="28"/>
        <v>15208.333333333334</v>
      </c>
      <c r="AK29" s="9">
        <f t="shared" si="28"/>
        <v>15208.333333333334</v>
      </c>
      <c r="AL29" s="9">
        <f t="shared" si="28"/>
        <v>15208.333333333334</v>
      </c>
      <c r="AM29" s="9">
        <f t="shared" si="28"/>
        <v>15208.333333333334</v>
      </c>
      <c r="AN29" s="9">
        <f t="shared" si="28"/>
        <v>15208.333333333334</v>
      </c>
      <c r="AO29" s="9">
        <f t="shared" si="28"/>
        <v>15208.333333333334</v>
      </c>
      <c r="AP29" s="9">
        <f t="shared" si="28"/>
        <v>15208.333333333334</v>
      </c>
      <c r="AQ29" s="9">
        <f t="shared" si="28"/>
        <v>15208.333333333334</v>
      </c>
      <c r="AR29" s="9">
        <f t="shared" si="28"/>
        <v>15208.333333333334</v>
      </c>
      <c r="AS29" s="9">
        <f t="shared" si="28"/>
        <v>15208.333333333334</v>
      </c>
      <c r="AT29" s="9">
        <f t="shared" si="28"/>
        <v>15208.333333333334</v>
      </c>
      <c r="AU29" s="9">
        <f t="shared" si="28"/>
        <v>15208.333333333334</v>
      </c>
      <c r="AV29" s="9">
        <f t="shared" si="28"/>
        <v>15208.333333333334</v>
      </c>
      <c r="AW29" s="9">
        <f t="shared" si="28"/>
        <v>15208.333333333334</v>
      </c>
      <c r="AX29" s="9">
        <f t="shared" si="28"/>
        <v>15208.333333333334</v>
      </c>
      <c r="AY29" s="9">
        <f t="shared" si="28"/>
        <v>15208.333333333334</v>
      </c>
      <c r="AZ29" s="9">
        <f t="shared" si="28"/>
        <v>15208.333333333334</v>
      </c>
      <c r="BA29" s="9">
        <f t="shared" si="28"/>
        <v>15208.333333333334</v>
      </c>
      <c r="BB29" s="9">
        <f t="shared" si="28"/>
        <v>15208.333333333334</v>
      </c>
      <c r="BC29" s="9">
        <f t="shared" si="28"/>
        <v>15208.333333333334</v>
      </c>
      <c r="BD29" s="9">
        <f t="shared" si="28"/>
        <v>15208.333333333334</v>
      </c>
      <c r="BE29" s="9">
        <f t="shared" si="28"/>
        <v>16041.666666666666</v>
      </c>
      <c r="BF29" s="9">
        <f t="shared" si="28"/>
        <v>16041.666666666666</v>
      </c>
      <c r="BG29" s="9">
        <f t="shared" si="28"/>
        <v>16041.666666666666</v>
      </c>
      <c r="BH29" s="9">
        <f t="shared" si="28"/>
        <v>16041.666666666666</v>
      </c>
      <c r="BI29" s="9">
        <f t="shared" si="28"/>
        <v>16041.666666666666</v>
      </c>
      <c r="BJ29" s="9">
        <f t="shared" si="28"/>
        <v>16041.666666666666</v>
      </c>
    </row>
    <row r="30" spans="1:62" s="7" customFormat="1" x14ac:dyDescent="0.2">
      <c r="B30" s="7" t="s">
        <v>84</v>
      </c>
      <c r="C30" s="92">
        <v>35416.666666666672</v>
      </c>
      <c r="D30" s="92">
        <v>35416.666666666672</v>
      </c>
      <c r="E30" s="92">
        <v>51041.666666666672</v>
      </c>
      <c r="F30" s="92">
        <v>61458.333333333343</v>
      </c>
      <c r="G30" s="92">
        <v>61458.333333333343</v>
      </c>
      <c r="H30" s="23">
        <f t="shared" ref="H30:BF30" si="29">SUM(H28:H29)</f>
        <v>61458.333333333343</v>
      </c>
      <c r="I30" s="23">
        <f t="shared" si="29"/>
        <v>61458.333333333343</v>
      </c>
      <c r="J30" s="23">
        <f t="shared" si="29"/>
        <v>61458.333333333343</v>
      </c>
      <c r="K30" s="23">
        <f t="shared" si="29"/>
        <v>61458.333333333343</v>
      </c>
      <c r="L30" s="23">
        <f t="shared" si="29"/>
        <v>61458.333333333343</v>
      </c>
      <c r="M30" s="23">
        <f t="shared" si="29"/>
        <v>61458.333333333343</v>
      </c>
      <c r="N30" s="23">
        <f t="shared" si="29"/>
        <v>61458.333333333343</v>
      </c>
      <c r="O30" s="23">
        <f t="shared" si="29"/>
        <v>71875</v>
      </c>
      <c r="P30" s="23">
        <f t="shared" si="29"/>
        <v>71875</v>
      </c>
      <c r="Q30" s="23">
        <f t="shared" si="29"/>
        <v>71875</v>
      </c>
      <c r="R30" s="23">
        <f t="shared" si="29"/>
        <v>71875</v>
      </c>
      <c r="S30" s="23">
        <f t="shared" si="29"/>
        <v>71875</v>
      </c>
      <c r="T30" s="23">
        <f t="shared" si="29"/>
        <v>71875</v>
      </c>
      <c r="U30" s="23">
        <f t="shared" si="29"/>
        <v>71875</v>
      </c>
      <c r="V30" s="23">
        <f t="shared" si="29"/>
        <v>71875</v>
      </c>
      <c r="W30" s="23">
        <f t="shared" si="29"/>
        <v>71875</v>
      </c>
      <c r="X30" s="23">
        <f t="shared" si="29"/>
        <v>76041.666666666672</v>
      </c>
      <c r="Y30" s="23">
        <f t="shared" si="29"/>
        <v>76041.666666666672</v>
      </c>
      <c r="Z30" s="23">
        <f t="shared" si="29"/>
        <v>76041.666666666672</v>
      </c>
      <c r="AA30" s="23">
        <f t="shared" si="29"/>
        <v>76041.666666666672</v>
      </c>
      <c r="AB30" s="23">
        <f t="shared" si="29"/>
        <v>76041.666666666672</v>
      </c>
      <c r="AC30" s="23">
        <f t="shared" si="29"/>
        <v>76041.666666666672</v>
      </c>
      <c r="AD30" s="23">
        <f t="shared" si="29"/>
        <v>76041.666666666672</v>
      </c>
      <c r="AE30" s="23">
        <f t="shared" si="29"/>
        <v>76041.666666666672</v>
      </c>
      <c r="AF30" s="23">
        <f t="shared" si="29"/>
        <v>76041.666666666672</v>
      </c>
      <c r="AG30" s="23">
        <f t="shared" si="29"/>
        <v>76041.666666666672</v>
      </c>
      <c r="AH30" s="23">
        <f t="shared" si="29"/>
        <v>76041.666666666672</v>
      </c>
      <c r="AI30" s="23">
        <f t="shared" si="29"/>
        <v>76041.666666666672</v>
      </c>
      <c r="AJ30" s="23">
        <f t="shared" si="29"/>
        <v>76041.666666666672</v>
      </c>
      <c r="AK30" s="23">
        <f t="shared" si="29"/>
        <v>76041.666666666672</v>
      </c>
      <c r="AL30" s="23">
        <f t="shared" si="29"/>
        <v>76041.666666666672</v>
      </c>
      <c r="AM30" s="23">
        <f t="shared" si="29"/>
        <v>76041.666666666672</v>
      </c>
      <c r="AN30" s="23">
        <f t="shared" si="29"/>
        <v>76041.666666666672</v>
      </c>
      <c r="AO30" s="23">
        <f t="shared" si="29"/>
        <v>76041.666666666672</v>
      </c>
      <c r="AP30" s="23">
        <f t="shared" si="29"/>
        <v>76041.666666666672</v>
      </c>
      <c r="AQ30" s="23">
        <f t="shared" si="29"/>
        <v>76041.666666666672</v>
      </c>
      <c r="AR30" s="23">
        <f t="shared" si="29"/>
        <v>76041.666666666672</v>
      </c>
      <c r="AS30" s="23">
        <f t="shared" si="29"/>
        <v>76041.666666666672</v>
      </c>
      <c r="AT30" s="23">
        <f t="shared" si="29"/>
        <v>76041.666666666672</v>
      </c>
      <c r="AU30" s="23">
        <f t="shared" si="29"/>
        <v>76041.666666666672</v>
      </c>
      <c r="AV30" s="23">
        <f t="shared" si="29"/>
        <v>76041.666666666672</v>
      </c>
      <c r="AW30" s="23">
        <f t="shared" si="29"/>
        <v>76041.666666666672</v>
      </c>
      <c r="AX30" s="23">
        <f t="shared" si="29"/>
        <v>76041.666666666672</v>
      </c>
      <c r="AY30" s="23">
        <f t="shared" si="29"/>
        <v>76041.666666666672</v>
      </c>
      <c r="AZ30" s="23">
        <f t="shared" si="29"/>
        <v>76041.666666666672</v>
      </c>
      <c r="BA30" s="23">
        <f t="shared" si="29"/>
        <v>76041.666666666672</v>
      </c>
      <c r="BB30" s="23">
        <f t="shared" si="29"/>
        <v>76041.666666666672</v>
      </c>
      <c r="BC30" s="23">
        <f t="shared" si="29"/>
        <v>76041.666666666672</v>
      </c>
      <c r="BD30" s="23">
        <f t="shared" si="29"/>
        <v>76041.666666666672</v>
      </c>
      <c r="BE30" s="23">
        <f t="shared" si="29"/>
        <v>80208.333333333328</v>
      </c>
      <c r="BF30" s="23">
        <f t="shared" si="29"/>
        <v>80208.333333333328</v>
      </c>
      <c r="BG30" s="23">
        <f>SUM(BG28:BG29)</f>
        <v>80208.333333333328</v>
      </c>
      <c r="BH30" s="23">
        <f t="shared" ref="BH30" si="30">SUM(BH28:BH29)</f>
        <v>80208.333333333328</v>
      </c>
      <c r="BI30" s="23">
        <f t="shared" ref="BI30" si="31">SUM(BI28:BI29)</f>
        <v>80208.333333333328</v>
      </c>
      <c r="BJ30" s="23">
        <f t="shared" ref="BJ30" si="32">SUM(BJ28:BJ29)</f>
        <v>80208.333333333328</v>
      </c>
    </row>
  </sheetData>
  <pageMargins left="0.75" right="0.75" top="1" bottom="1" header="0.5" footer="0.5"/>
  <pageSetup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E19"/>
  <sheetViews>
    <sheetView zoomScale="170" zoomScaleNormal="170" workbookViewId="0">
      <selection activeCell="E11" sqref="E11"/>
    </sheetView>
    <sheetView zoomScale="220" zoomScaleNormal="220" zoomScalePageLayoutView="200" workbookViewId="1">
      <selection activeCell="C56" sqref="C56"/>
    </sheetView>
  </sheetViews>
  <sheetFormatPr baseColWidth="10" defaultRowHeight="16" x14ac:dyDescent="0.2"/>
  <cols>
    <col min="1" max="1" width="3.6640625" customWidth="1"/>
    <col min="2" max="2" width="40" bestFit="1" customWidth="1"/>
    <col min="3" max="3" width="9.1640625" bestFit="1" customWidth="1"/>
    <col min="4" max="4" width="19.33203125" customWidth="1"/>
  </cols>
  <sheetData>
    <row r="2" spans="2:5" x14ac:dyDescent="0.2">
      <c r="B2" s="7" t="s">
        <v>68</v>
      </c>
    </row>
    <row r="3" spans="2:5" x14ac:dyDescent="0.2">
      <c r="B3" s="56" t="s">
        <v>171</v>
      </c>
      <c r="C3" s="19">
        <f>'Sales Detail'!N9</f>
        <v>29.99</v>
      </c>
    </row>
    <row r="4" spans="2:5" x14ac:dyDescent="0.2">
      <c r="B4" s="7"/>
    </row>
    <row r="5" spans="2:5" x14ac:dyDescent="0.2">
      <c r="B5" t="s">
        <v>175</v>
      </c>
      <c r="C5" s="19">
        <f>C3*SubscriptionMargin</f>
        <v>7.4974999999999996</v>
      </c>
    </row>
    <row r="6" spans="2:5" x14ac:dyDescent="0.2">
      <c r="B6" t="s">
        <v>173</v>
      </c>
      <c r="C6" s="97">
        <f>1/MonthlySubscriptionChurn</f>
        <v>25</v>
      </c>
    </row>
    <row r="7" spans="2:5" x14ac:dyDescent="0.2">
      <c r="B7" s="7" t="s">
        <v>176</v>
      </c>
      <c r="C7" s="12">
        <f>C5*C6</f>
        <v>187.4375</v>
      </c>
    </row>
    <row r="9" spans="2:5" x14ac:dyDescent="0.2">
      <c r="B9" t="s">
        <v>179</v>
      </c>
      <c r="C9" s="25">
        <f>'Sales Detail'!N13</f>
        <v>0.15500000000000003</v>
      </c>
    </row>
    <row r="10" spans="2:5" x14ac:dyDescent="0.2">
      <c r="B10" t="s">
        <v>178</v>
      </c>
      <c r="C10" s="19">
        <f>'Sales Detail'!C14</f>
        <v>15.84</v>
      </c>
    </row>
    <row r="11" spans="2:5" x14ac:dyDescent="0.2">
      <c r="B11" s="7" t="s">
        <v>177</v>
      </c>
      <c r="C11" s="12">
        <f>C10*C9*C6*eCommerceMargin</f>
        <v>18.414000000000001</v>
      </c>
    </row>
    <row r="13" spans="2:5" x14ac:dyDescent="0.2">
      <c r="B13" s="7" t="s">
        <v>180</v>
      </c>
      <c r="C13" s="57">
        <f>C11+C7</f>
        <v>205.85149999999999</v>
      </c>
    </row>
    <row r="15" spans="2:5" x14ac:dyDescent="0.2">
      <c r="B15" s="7" t="s">
        <v>172</v>
      </c>
      <c r="C15" s="15" t="s">
        <v>141</v>
      </c>
      <c r="D15" s="15" t="s">
        <v>142</v>
      </c>
      <c r="E15" s="15" t="s">
        <v>143</v>
      </c>
    </row>
    <row r="16" spans="2:5" x14ac:dyDescent="0.2">
      <c r="B16" t="s">
        <v>69</v>
      </c>
      <c r="C16" s="8">
        <f>AverageCPConFACEBOOK/FacebookToSubscriber</f>
        <v>185</v>
      </c>
      <c r="D16" s="18">
        <f>C16/C13*C6</f>
        <v>22.467652652518929</v>
      </c>
      <c r="E16" s="58">
        <f>C13/C16</f>
        <v>1.1127108108108108</v>
      </c>
    </row>
    <row r="17" spans="2:5" x14ac:dyDescent="0.2">
      <c r="B17" t="s">
        <v>70</v>
      </c>
      <c r="C17" s="8">
        <f>AverageCPCGoogle/SEMToSubscriber</f>
        <v>112.5</v>
      </c>
      <c r="D17" s="18">
        <f>C17/C13*C6</f>
        <v>13.662761748153402</v>
      </c>
      <c r="E17" s="58">
        <f>C13/C17</f>
        <v>1.8297911111111109</v>
      </c>
    </row>
    <row r="19" spans="2:5" x14ac:dyDescent="0.2">
      <c r="B19" s="7"/>
    </row>
  </sheetData>
  <pageMargins left="0.75" right="0.75" top="1" bottom="1" header="0.5" footer="0.5"/>
  <pageSetup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D153C-1287-AF4F-AE9C-92805DF82ABB}">
  <dimension ref="B1:O53"/>
  <sheetViews>
    <sheetView workbookViewId="0"/>
    <sheetView zoomScale="190" zoomScaleNormal="190" workbookViewId="1">
      <selection activeCell="E18" sqref="E18"/>
    </sheetView>
  </sheetViews>
  <sheetFormatPr baseColWidth="10" defaultRowHeight="16" x14ac:dyDescent="0.2"/>
  <cols>
    <col min="1" max="1" width="5.1640625" customWidth="1"/>
    <col min="2" max="2" width="11.6640625" bestFit="1" customWidth="1"/>
  </cols>
  <sheetData>
    <row r="1" spans="2:15" ht="17" thickBot="1" x14ac:dyDescent="0.25"/>
    <row r="2" spans="2:15" x14ac:dyDescent="0.2">
      <c r="B2" s="112" t="s">
        <v>195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2:15" ht="17" thickBot="1" x14ac:dyDescent="0.25">
      <c r="B3" s="115"/>
      <c r="C3" s="116" t="s">
        <v>182</v>
      </c>
      <c r="D3" s="116" t="s">
        <v>183</v>
      </c>
      <c r="E3" s="116" t="s">
        <v>184</v>
      </c>
      <c r="F3" s="116" t="s">
        <v>185</v>
      </c>
      <c r="G3" s="116" t="s">
        <v>186</v>
      </c>
      <c r="H3" s="116" t="s">
        <v>187</v>
      </c>
      <c r="I3" s="116" t="s">
        <v>188</v>
      </c>
      <c r="J3" s="116" t="s">
        <v>189</v>
      </c>
      <c r="K3" s="116" t="s">
        <v>190</v>
      </c>
      <c r="L3" s="116" t="s">
        <v>191</v>
      </c>
      <c r="M3" s="116" t="s">
        <v>192</v>
      </c>
      <c r="N3" s="117" t="s">
        <v>193</v>
      </c>
      <c r="O3" s="99"/>
    </row>
    <row r="4" spans="2:15" x14ac:dyDescent="0.2">
      <c r="B4" s="101" t="s">
        <v>194</v>
      </c>
      <c r="C4" s="102">
        <v>100</v>
      </c>
      <c r="D4" s="102">
        <v>108</v>
      </c>
      <c r="E4" s="102">
        <v>110</v>
      </c>
      <c r="F4" s="102">
        <v>125</v>
      </c>
      <c r="G4" s="102">
        <v>250</v>
      </c>
      <c r="H4" s="102">
        <v>400</v>
      </c>
      <c r="I4" s="102">
        <v>575</v>
      </c>
      <c r="J4" s="102">
        <v>700</v>
      </c>
      <c r="K4" s="102">
        <v>800</v>
      </c>
      <c r="L4" s="102">
        <v>900</v>
      </c>
      <c r="M4" s="102">
        <v>1000</v>
      </c>
      <c r="N4" s="103">
        <v>1100</v>
      </c>
    </row>
    <row r="5" spans="2:15" x14ac:dyDescent="0.2">
      <c r="B5" s="100" t="s">
        <v>182</v>
      </c>
      <c r="C5" s="104">
        <v>102</v>
      </c>
      <c r="D5" s="105">
        <v>110</v>
      </c>
      <c r="E5" s="105">
        <v>120</v>
      </c>
      <c r="F5" s="105">
        <v>130</v>
      </c>
      <c r="G5" s="105">
        <v>260</v>
      </c>
      <c r="H5" s="105">
        <v>410</v>
      </c>
      <c r="I5" s="105">
        <v>580</v>
      </c>
      <c r="J5" s="105">
        <v>712</v>
      </c>
      <c r="K5" s="105">
        <v>815</v>
      </c>
      <c r="L5" s="105">
        <v>910</v>
      </c>
      <c r="M5" s="105">
        <v>1025</v>
      </c>
      <c r="N5" s="106">
        <v>1125</v>
      </c>
    </row>
    <row r="6" spans="2:15" x14ac:dyDescent="0.2">
      <c r="B6" s="100" t="s">
        <v>183</v>
      </c>
      <c r="C6" s="105"/>
      <c r="D6" s="107">
        <v>106</v>
      </c>
      <c r="E6" s="105">
        <v>115</v>
      </c>
      <c r="F6" s="105">
        <v>123</v>
      </c>
      <c r="G6" s="105">
        <v>255</v>
      </c>
      <c r="H6" s="105">
        <v>405</v>
      </c>
      <c r="I6" s="105">
        <v>560</v>
      </c>
      <c r="J6" s="105">
        <v>690</v>
      </c>
      <c r="K6" s="105">
        <v>805</v>
      </c>
      <c r="L6" s="105">
        <v>905</v>
      </c>
      <c r="M6" s="105">
        <v>1020</v>
      </c>
      <c r="N6" s="106">
        <v>1120</v>
      </c>
    </row>
    <row r="7" spans="2:15" x14ac:dyDescent="0.2">
      <c r="B7" s="100" t="s">
        <v>184</v>
      </c>
      <c r="C7" s="105"/>
      <c r="D7" s="105"/>
      <c r="E7" s="104">
        <v>114</v>
      </c>
      <c r="F7" s="105">
        <v>122</v>
      </c>
      <c r="G7" s="105">
        <v>253</v>
      </c>
      <c r="H7" s="105">
        <v>404</v>
      </c>
      <c r="I7" s="105">
        <v>555</v>
      </c>
      <c r="J7" s="105">
        <v>688</v>
      </c>
      <c r="K7" s="105">
        <v>800</v>
      </c>
      <c r="L7" s="105">
        <v>900</v>
      </c>
      <c r="M7" s="105">
        <v>1005</v>
      </c>
      <c r="N7" s="106">
        <v>1110</v>
      </c>
    </row>
    <row r="8" spans="2:15" x14ac:dyDescent="0.2">
      <c r="B8" s="100" t="s">
        <v>185</v>
      </c>
      <c r="C8" s="105"/>
      <c r="D8" s="105"/>
      <c r="E8" s="105"/>
      <c r="F8" s="107">
        <v>121</v>
      </c>
      <c r="G8" s="105">
        <v>255</v>
      </c>
      <c r="H8" s="105">
        <v>412</v>
      </c>
      <c r="I8" s="105">
        <v>548</v>
      </c>
      <c r="J8" s="105">
        <v>676</v>
      </c>
      <c r="K8" s="105">
        <v>805</v>
      </c>
      <c r="L8" s="105">
        <v>920</v>
      </c>
      <c r="M8" s="105">
        <v>1020</v>
      </c>
      <c r="N8" s="106">
        <v>1135</v>
      </c>
    </row>
    <row r="9" spans="2:15" x14ac:dyDescent="0.2">
      <c r="B9" s="100" t="s">
        <v>186</v>
      </c>
      <c r="C9" s="105"/>
      <c r="D9" s="105"/>
      <c r="E9" s="105"/>
      <c r="F9" s="105"/>
      <c r="G9" s="104">
        <v>271</v>
      </c>
      <c r="H9" s="105">
        <v>414</v>
      </c>
      <c r="I9" s="105">
        <v>552</v>
      </c>
      <c r="J9" s="105">
        <v>685</v>
      </c>
      <c r="K9" s="105">
        <v>814</v>
      </c>
      <c r="L9" s="105">
        <v>938</v>
      </c>
      <c r="M9" s="105">
        <v>1057</v>
      </c>
      <c r="N9" s="106">
        <v>1173</v>
      </c>
    </row>
    <row r="10" spans="2:15" x14ac:dyDescent="0.2">
      <c r="B10" s="100" t="s">
        <v>187</v>
      </c>
      <c r="C10" s="105"/>
      <c r="D10" s="105"/>
      <c r="E10" s="105"/>
      <c r="F10" s="105"/>
      <c r="G10" s="105"/>
      <c r="H10" s="108"/>
      <c r="I10" s="105"/>
      <c r="J10" s="105"/>
      <c r="K10" s="105"/>
      <c r="L10" s="105"/>
      <c r="M10" s="105"/>
      <c r="N10" s="106"/>
    </row>
    <row r="11" spans="2:15" x14ac:dyDescent="0.2">
      <c r="B11" s="100" t="s">
        <v>188</v>
      </c>
      <c r="C11" s="105"/>
      <c r="D11" s="105"/>
      <c r="E11" s="105"/>
      <c r="F11" s="105"/>
      <c r="G11" s="105"/>
      <c r="H11" s="105"/>
      <c r="I11" s="108"/>
      <c r="J11" s="105"/>
      <c r="K11" s="105"/>
      <c r="L11" s="105"/>
      <c r="M11" s="105"/>
      <c r="N11" s="106"/>
    </row>
    <row r="12" spans="2:15" x14ac:dyDescent="0.2">
      <c r="B12" s="100" t="s">
        <v>189</v>
      </c>
      <c r="C12" s="105"/>
      <c r="D12" s="105"/>
      <c r="E12" s="105"/>
      <c r="F12" s="105"/>
      <c r="G12" s="105"/>
      <c r="H12" s="105"/>
      <c r="I12" s="105"/>
      <c r="J12" s="108"/>
      <c r="K12" s="105"/>
      <c r="L12" s="105"/>
      <c r="M12" s="105"/>
      <c r="N12" s="106"/>
    </row>
    <row r="13" spans="2:15" x14ac:dyDescent="0.2">
      <c r="B13" s="100" t="s">
        <v>190</v>
      </c>
      <c r="C13" s="105"/>
      <c r="D13" s="105"/>
      <c r="E13" s="105"/>
      <c r="F13" s="105"/>
      <c r="G13" s="105"/>
      <c r="H13" s="105"/>
      <c r="I13" s="105"/>
      <c r="J13" s="105"/>
      <c r="K13" s="108"/>
      <c r="L13" s="105"/>
      <c r="M13" s="105"/>
      <c r="N13" s="106"/>
    </row>
    <row r="14" spans="2:15" x14ac:dyDescent="0.2">
      <c r="B14" s="100" t="s">
        <v>191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8"/>
      <c r="M14" s="105"/>
      <c r="N14" s="106"/>
    </row>
    <row r="15" spans="2:15" x14ac:dyDescent="0.2">
      <c r="B15" s="100" t="s">
        <v>192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8"/>
      <c r="N15" s="106"/>
    </row>
    <row r="16" spans="2:15" ht="17" thickBot="1" x14ac:dyDescent="0.25">
      <c r="B16" s="109" t="s">
        <v>193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1"/>
    </row>
    <row r="17" spans="2:14" x14ac:dyDescent="0.2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294" customHeight="1" x14ac:dyDescent="0.2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x14ac:dyDescent="0.2">
      <c r="B19" t="s">
        <v>198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7" thickBo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x14ac:dyDescent="0.2">
      <c r="B21" s="112" t="s">
        <v>196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4"/>
    </row>
    <row r="22" spans="2:14" ht="17" thickBot="1" x14ac:dyDescent="0.25">
      <c r="B22" s="115"/>
      <c r="C22" s="116" t="s">
        <v>182</v>
      </c>
      <c r="D22" s="116" t="s">
        <v>183</v>
      </c>
      <c r="E22" s="116" t="s">
        <v>184</v>
      </c>
      <c r="F22" s="116" t="s">
        <v>185</v>
      </c>
      <c r="G22" s="116" t="s">
        <v>186</v>
      </c>
      <c r="H22" s="116" t="s">
        <v>187</v>
      </c>
      <c r="I22" s="116" t="s">
        <v>188</v>
      </c>
      <c r="J22" s="116" t="s">
        <v>189</v>
      </c>
      <c r="K22" s="116" t="s">
        <v>190</v>
      </c>
      <c r="L22" s="116" t="s">
        <v>191</v>
      </c>
      <c r="M22" s="116" t="s">
        <v>192</v>
      </c>
      <c r="N22" s="117" t="s">
        <v>193</v>
      </c>
    </row>
    <row r="23" spans="2:14" x14ac:dyDescent="0.2">
      <c r="B23" s="101" t="s">
        <v>194</v>
      </c>
      <c r="C23" s="102">
        <v>3500</v>
      </c>
      <c r="D23" s="102">
        <v>4000</v>
      </c>
      <c r="E23" s="102">
        <v>4250</v>
      </c>
      <c r="F23" s="102">
        <v>5000</v>
      </c>
      <c r="G23" s="102">
        <v>20000</v>
      </c>
      <c r="H23" s="102">
        <v>26000</v>
      </c>
      <c r="I23" s="102">
        <v>32000</v>
      </c>
      <c r="J23" s="102">
        <v>36000</v>
      </c>
      <c r="K23" s="102">
        <v>42000</v>
      </c>
      <c r="L23" s="102">
        <v>45000</v>
      </c>
      <c r="M23" s="102">
        <v>50000</v>
      </c>
      <c r="N23" s="103">
        <v>55000</v>
      </c>
    </row>
    <row r="24" spans="2:14" x14ac:dyDescent="0.2">
      <c r="B24" s="100" t="s">
        <v>182</v>
      </c>
      <c r="C24" s="104">
        <v>3613.2637449999997</v>
      </c>
      <c r="D24" s="105">
        <v>3950</v>
      </c>
      <c r="E24" s="105">
        <v>4300</v>
      </c>
      <c r="F24" s="105">
        <v>5100</v>
      </c>
      <c r="G24" s="105">
        <v>21000</v>
      </c>
      <c r="H24" s="105">
        <v>27000</v>
      </c>
      <c r="I24" s="105">
        <v>32500</v>
      </c>
      <c r="J24" s="105">
        <v>36500</v>
      </c>
      <c r="K24" s="105">
        <v>43000</v>
      </c>
      <c r="L24" s="105">
        <v>45750</v>
      </c>
      <c r="M24" s="105">
        <v>51000</v>
      </c>
      <c r="N24" s="106">
        <v>56000</v>
      </c>
    </row>
    <row r="25" spans="2:14" x14ac:dyDescent="0.2">
      <c r="B25" s="100" t="s">
        <v>183</v>
      </c>
      <c r="C25" s="105"/>
      <c r="D25" s="107">
        <v>3941.3917240000001</v>
      </c>
      <c r="E25" s="105">
        <v>4325</v>
      </c>
      <c r="F25" s="105">
        <v>5200</v>
      </c>
      <c r="G25" s="105">
        <v>22000</v>
      </c>
      <c r="H25" s="105">
        <v>28000</v>
      </c>
      <c r="I25" s="105">
        <v>32125</v>
      </c>
      <c r="J25" s="105">
        <v>37000</v>
      </c>
      <c r="K25" s="105">
        <v>43500</v>
      </c>
      <c r="L25" s="105">
        <v>46000</v>
      </c>
      <c r="M25" s="105">
        <v>52000</v>
      </c>
      <c r="N25" s="106">
        <v>57000</v>
      </c>
    </row>
    <row r="26" spans="2:14" x14ac:dyDescent="0.2">
      <c r="B26" s="100" t="s">
        <v>184</v>
      </c>
      <c r="C26" s="105"/>
      <c r="D26" s="105"/>
      <c r="E26" s="104">
        <v>4353.519779799999</v>
      </c>
      <c r="F26" s="105">
        <v>5000</v>
      </c>
      <c r="G26" s="105">
        <v>22300</v>
      </c>
      <c r="H26" s="105">
        <v>27500</v>
      </c>
      <c r="I26" s="105">
        <v>32175</v>
      </c>
      <c r="J26" s="105">
        <v>37250</v>
      </c>
      <c r="K26" s="105">
        <v>43750</v>
      </c>
      <c r="L26" s="105">
        <v>46500</v>
      </c>
      <c r="M26" s="105">
        <v>52500</v>
      </c>
      <c r="N26" s="106">
        <v>57500</v>
      </c>
    </row>
    <row r="27" spans="2:14" x14ac:dyDescent="0.2">
      <c r="B27" s="100" t="s">
        <v>185</v>
      </c>
      <c r="C27" s="105"/>
      <c r="D27" s="105"/>
      <c r="E27" s="105"/>
      <c r="F27" s="107">
        <v>4916.8579048000001</v>
      </c>
      <c r="G27" s="105">
        <v>22400</v>
      </c>
      <c r="H27" s="105">
        <v>27550</v>
      </c>
      <c r="I27" s="105">
        <v>32200</v>
      </c>
      <c r="J27" s="105">
        <v>37500</v>
      </c>
      <c r="K27" s="105">
        <v>43000</v>
      </c>
      <c r="L27" s="105">
        <v>46600</v>
      </c>
      <c r="M27" s="105">
        <v>51000</v>
      </c>
      <c r="N27" s="106">
        <v>56000</v>
      </c>
    </row>
    <row r="28" spans="2:14" x14ac:dyDescent="0.2">
      <c r="B28" s="100" t="s">
        <v>186</v>
      </c>
      <c r="C28" s="105"/>
      <c r="D28" s="105"/>
      <c r="E28" s="105"/>
      <c r="F28" s="105"/>
      <c r="G28" s="104">
        <v>22465.296064000002</v>
      </c>
      <c r="H28" s="105">
        <v>27610.358507556801</v>
      </c>
      <c r="I28" s="105">
        <v>32527.912440786335</v>
      </c>
      <c r="J28" s="105">
        <v>37320.299512205049</v>
      </c>
      <c r="K28" s="105">
        <v>42060.449435936134</v>
      </c>
      <c r="L28" s="105">
        <v>46633.079988839345</v>
      </c>
      <c r="M28" s="105">
        <v>51119.976332605707</v>
      </c>
      <c r="N28" s="106">
        <v>55502.594298365722</v>
      </c>
    </row>
    <row r="29" spans="2:14" x14ac:dyDescent="0.2">
      <c r="B29" s="100" t="s">
        <v>187</v>
      </c>
      <c r="C29" s="105"/>
      <c r="D29" s="105"/>
      <c r="E29" s="105"/>
      <c r="F29" s="105"/>
      <c r="G29" s="105"/>
      <c r="H29" s="108"/>
      <c r="I29" s="105"/>
      <c r="J29" s="105"/>
      <c r="K29" s="105"/>
      <c r="L29" s="105"/>
      <c r="M29" s="105"/>
      <c r="N29" s="106"/>
    </row>
    <row r="30" spans="2:14" x14ac:dyDescent="0.2">
      <c r="B30" s="100" t="s">
        <v>188</v>
      </c>
      <c r="C30" s="105"/>
      <c r="D30" s="105"/>
      <c r="E30" s="105"/>
      <c r="F30" s="105"/>
      <c r="G30" s="105"/>
      <c r="H30" s="105"/>
      <c r="I30" s="108"/>
      <c r="J30" s="105"/>
      <c r="K30" s="105"/>
      <c r="L30" s="105"/>
      <c r="M30" s="105"/>
      <c r="N30" s="106"/>
    </row>
    <row r="31" spans="2:14" x14ac:dyDescent="0.2">
      <c r="B31" s="100" t="s">
        <v>189</v>
      </c>
      <c r="C31" s="105"/>
      <c r="D31" s="105"/>
      <c r="E31" s="105"/>
      <c r="F31" s="105"/>
      <c r="G31" s="105"/>
      <c r="H31" s="105"/>
      <c r="I31" s="105"/>
      <c r="J31" s="108"/>
      <c r="K31" s="105"/>
      <c r="L31" s="105"/>
      <c r="M31" s="105"/>
      <c r="N31" s="106"/>
    </row>
    <row r="32" spans="2:14" x14ac:dyDescent="0.2">
      <c r="B32" s="100" t="s">
        <v>190</v>
      </c>
      <c r="C32" s="105"/>
      <c r="D32" s="105"/>
      <c r="E32" s="105"/>
      <c r="F32" s="105"/>
      <c r="G32" s="105"/>
      <c r="H32" s="105"/>
      <c r="I32" s="105"/>
      <c r="J32" s="105"/>
      <c r="K32" s="108"/>
      <c r="L32" s="105"/>
      <c r="M32" s="105"/>
      <c r="N32" s="106"/>
    </row>
    <row r="33" spans="2:14" x14ac:dyDescent="0.2">
      <c r="B33" s="100" t="s">
        <v>191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8"/>
      <c r="M33" s="105"/>
      <c r="N33" s="106"/>
    </row>
    <row r="34" spans="2:14" x14ac:dyDescent="0.2">
      <c r="B34" s="100" t="s">
        <v>192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8"/>
      <c r="N34" s="106"/>
    </row>
    <row r="35" spans="2:14" ht="17" thickBot="1" x14ac:dyDescent="0.25">
      <c r="B35" s="109" t="s">
        <v>193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1"/>
    </row>
    <row r="38" spans="2:14" ht="17" thickBot="1" x14ac:dyDescent="0.25"/>
    <row r="39" spans="2:14" x14ac:dyDescent="0.2">
      <c r="B39" s="112" t="s">
        <v>197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4"/>
    </row>
    <row r="40" spans="2:14" ht="17" thickBot="1" x14ac:dyDescent="0.25">
      <c r="B40" s="115"/>
      <c r="C40" s="116" t="s">
        <v>182</v>
      </c>
      <c r="D40" s="116" t="s">
        <v>183</v>
      </c>
      <c r="E40" s="116" t="s">
        <v>184</v>
      </c>
      <c r="F40" s="116" t="s">
        <v>185</v>
      </c>
      <c r="G40" s="116" t="s">
        <v>186</v>
      </c>
      <c r="H40" s="116" t="s">
        <v>187</v>
      </c>
      <c r="I40" s="116" t="s">
        <v>188</v>
      </c>
      <c r="J40" s="116" t="s">
        <v>189</v>
      </c>
      <c r="K40" s="116" t="s">
        <v>190</v>
      </c>
      <c r="L40" s="116" t="s">
        <v>191</v>
      </c>
      <c r="M40" s="116" t="s">
        <v>192</v>
      </c>
      <c r="N40" s="117" t="s">
        <v>193</v>
      </c>
    </row>
    <row r="41" spans="2:14" x14ac:dyDescent="0.2">
      <c r="B41" s="101" t="s">
        <v>194</v>
      </c>
      <c r="C41" s="102">
        <v>980000</v>
      </c>
      <c r="D41" s="102">
        <v>930000</v>
      </c>
      <c r="E41" s="102">
        <v>880000</v>
      </c>
      <c r="F41" s="102">
        <v>800000</v>
      </c>
      <c r="G41" s="102">
        <v>700000</v>
      </c>
      <c r="H41" s="102">
        <v>625000</v>
      </c>
      <c r="I41" s="102">
        <v>540000</v>
      </c>
      <c r="J41" s="102">
        <v>475000</v>
      </c>
      <c r="K41" s="102">
        <v>380000</v>
      </c>
      <c r="L41" s="102">
        <v>300000</v>
      </c>
      <c r="M41" s="102">
        <v>225000</v>
      </c>
      <c r="N41" s="103">
        <v>160000</v>
      </c>
    </row>
    <row r="42" spans="2:14" x14ac:dyDescent="0.2">
      <c r="B42" s="100" t="s">
        <v>182</v>
      </c>
      <c r="C42" s="107">
        <v>967395.34207833337</v>
      </c>
      <c r="D42" s="105">
        <v>929234</v>
      </c>
      <c r="E42" s="105">
        <v>879112</v>
      </c>
      <c r="F42" s="105">
        <v>798500</v>
      </c>
      <c r="G42" s="105">
        <v>698236</v>
      </c>
      <c r="H42" s="105">
        <v>621491</v>
      </c>
      <c r="I42" s="105">
        <v>538755</v>
      </c>
      <c r="J42" s="105">
        <v>472938</v>
      </c>
      <c r="K42" s="105">
        <v>375924</v>
      </c>
      <c r="L42" s="105">
        <v>299456</v>
      </c>
      <c r="M42" s="105">
        <v>220494</v>
      </c>
      <c r="N42" s="106">
        <v>155939</v>
      </c>
    </row>
    <row r="43" spans="2:14" x14ac:dyDescent="0.2">
      <c r="B43" s="100" t="s">
        <v>183</v>
      </c>
      <c r="C43" s="105"/>
      <c r="D43" s="107">
        <v>928367.55163566675</v>
      </c>
      <c r="E43" s="105">
        <v>881349</v>
      </c>
      <c r="F43" s="105">
        <v>801211</v>
      </c>
      <c r="G43" s="105">
        <v>695678</v>
      </c>
      <c r="H43" s="105">
        <v>619345</v>
      </c>
      <c r="I43" s="105">
        <v>536829</v>
      </c>
      <c r="J43" s="105">
        <v>471294</v>
      </c>
      <c r="K43" s="105">
        <v>372362</v>
      </c>
      <c r="L43" s="105">
        <v>301453</v>
      </c>
      <c r="M43" s="105">
        <v>218345</v>
      </c>
      <c r="N43" s="106">
        <v>156949</v>
      </c>
    </row>
    <row r="44" spans="2:14" x14ac:dyDescent="0.2">
      <c r="B44" s="100" t="s">
        <v>184</v>
      </c>
      <c r="C44" s="105"/>
      <c r="D44" s="105"/>
      <c r="E44" s="104">
        <v>883581.48974880006</v>
      </c>
      <c r="F44" s="105">
        <v>802093</v>
      </c>
      <c r="G44" s="105">
        <v>695034</v>
      </c>
      <c r="H44" s="105">
        <v>621356</v>
      </c>
      <c r="I44" s="105">
        <v>539234</v>
      </c>
      <c r="J44" s="105">
        <v>465923</v>
      </c>
      <c r="K44" s="105">
        <v>377444</v>
      </c>
      <c r="L44" s="105">
        <v>302345</v>
      </c>
      <c r="M44" s="105">
        <v>223491</v>
      </c>
      <c r="N44" s="106">
        <v>153939</v>
      </c>
    </row>
    <row r="45" spans="2:14" x14ac:dyDescent="0.2">
      <c r="B45" s="100" t="s">
        <v>185</v>
      </c>
      <c r="C45" s="105"/>
      <c r="D45" s="105"/>
      <c r="E45" s="105"/>
      <c r="F45" s="104">
        <v>802868.5053202667</v>
      </c>
      <c r="G45" s="105">
        <v>697233</v>
      </c>
      <c r="H45" s="105">
        <v>622089</v>
      </c>
      <c r="I45" s="105">
        <v>542391</v>
      </c>
      <c r="J45" s="105">
        <v>464230</v>
      </c>
      <c r="K45" s="105">
        <v>381284</v>
      </c>
      <c r="L45" s="105">
        <v>305848</v>
      </c>
      <c r="M45" s="105">
        <v>229484</v>
      </c>
      <c r="N45" s="106">
        <v>157094</v>
      </c>
    </row>
    <row r="46" spans="2:14" x14ac:dyDescent="0.2">
      <c r="B46" s="100" t="s">
        <v>186</v>
      </c>
      <c r="C46" s="105"/>
      <c r="D46" s="105"/>
      <c r="E46" s="105"/>
      <c r="F46" s="105"/>
      <c r="G46" s="107">
        <v>699900.31405093335</v>
      </c>
      <c r="H46" s="105">
        <v>622393.36014400749</v>
      </c>
      <c r="I46" s="105">
        <v>541425.55697378376</v>
      </c>
      <c r="J46" s="105">
        <v>462034.26038381865</v>
      </c>
      <c r="K46" s="105">
        <v>384198.35709227732</v>
      </c>
      <c r="L46" s="105">
        <v>307928.97242752777</v>
      </c>
      <c r="M46" s="105">
        <v>233190.72670577531</v>
      </c>
      <c r="N46" s="106">
        <v>159974.97070047163</v>
      </c>
    </row>
    <row r="47" spans="2:14" x14ac:dyDescent="0.2">
      <c r="B47" s="100" t="s">
        <v>187</v>
      </c>
      <c r="C47" s="105"/>
      <c r="D47" s="105"/>
      <c r="E47" s="105"/>
      <c r="F47" s="105"/>
      <c r="G47" s="105"/>
      <c r="H47" s="108"/>
      <c r="I47" s="105"/>
      <c r="J47" s="105"/>
      <c r="K47" s="105"/>
      <c r="L47" s="105"/>
      <c r="M47" s="105"/>
      <c r="N47" s="106"/>
    </row>
    <row r="48" spans="2:14" x14ac:dyDescent="0.2">
      <c r="B48" s="100" t="s">
        <v>188</v>
      </c>
      <c r="C48" s="105"/>
      <c r="D48" s="105"/>
      <c r="E48" s="105"/>
      <c r="F48" s="105"/>
      <c r="G48" s="105"/>
      <c r="H48" s="105"/>
      <c r="I48" s="108"/>
      <c r="J48" s="105"/>
      <c r="K48" s="105"/>
      <c r="L48" s="105"/>
      <c r="M48" s="105"/>
      <c r="N48" s="106"/>
    </row>
    <row r="49" spans="2:14" x14ac:dyDescent="0.2">
      <c r="B49" s="100" t="s">
        <v>189</v>
      </c>
      <c r="C49" s="105"/>
      <c r="D49" s="105"/>
      <c r="E49" s="105"/>
      <c r="F49" s="105"/>
      <c r="G49" s="105"/>
      <c r="H49" s="105"/>
      <c r="I49" s="105"/>
      <c r="J49" s="108"/>
      <c r="K49" s="105"/>
      <c r="L49" s="105"/>
      <c r="M49" s="105"/>
      <c r="N49" s="106"/>
    </row>
    <row r="50" spans="2:14" x14ac:dyDescent="0.2">
      <c r="B50" s="100" t="s">
        <v>190</v>
      </c>
      <c r="C50" s="105"/>
      <c r="D50" s="105"/>
      <c r="E50" s="105"/>
      <c r="F50" s="105"/>
      <c r="G50" s="105"/>
      <c r="H50" s="105"/>
      <c r="I50" s="105"/>
      <c r="J50" s="105"/>
      <c r="K50" s="108"/>
      <c r="L50" s="105"/>
      <c r="M50" s="105"/>
      <c r="N50" s="106"/>
    </row>
    <row r="51" spans="2:14" x14ac:dyDescent="0.2">
      <c r="B51" s="100" t="s">
        <v>191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8"/>
      <c r="M51" s="105"/>
      <c r="N51" s="106"/>
    </row>
    <row r="52" spans="2:14" x14ac:dyDescent="0.2">
      <c r="B52" s="100" t="s">
        <v>192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8"/>
      <c r="N52" s="106"/>
    </row>
    <row r="53" spans="2:14" ht="17" thickBot="1" x14ac:dyDescent="0.25">
      <c r="B53" s="109" t="s">
        <v>193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1"/>
    </row>
  </sheetData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2:P2"/>
  <sheetViews>
    <sheetView workbookViewId="0">
      <selection activeCell="E3" sqref="E3"/>
    </sheetView>
    <sheetView zoomScale="110" zoomScaleNormal="110" zoomScalePageLayoutView="90" workbookViewId="1"/>
  </sheetViews>
  <sheetFormatPr baseColWidth="10" defaultRowHeight="16" x14ac:dyDescent="0.2"/>
  <sheetData>
    <row r="2" spans="5:16" ht="24" x14ac:dyDescent="0.3">
      <c r="E2" s="64" t="s">
        <v>149</v>
      </c>
      <c r="F2" s="64"/>
      <c r="G2" s="64"/>
      <c r="H2" s="64"/>
      <c r="I2" s="64"/>
      <c r="J2" s="64"/>
      <c r="K2" s="64"/>
      <c r="L2" s="64"/>
      <c r="M2" s="65"/>
      <c r="N2" s="65"/>
      <c r="O2" s="65"/>
      <c r="P2" s="65"/>
    </row>
  </sheetData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A40"/>
  <sheetViews>
    <sheetView workbookViewId="0">
      <selection activeCell="A23" sqref="A23"/>
    </sheetView>
    <sheetView zoomScale="170" zoomScaleNormal="170" zoomScalePageLayoutView="150" workbookViewId="1">
      <selection activeCell="C56" sqref="C56"/>
    </sheetView>
  </sheetViews>
  <sheetFormatPr baseColWidth="10" defaultRowHeight="16" x14ac:dyDescent="0.2"/>
  <cols>
    <col min="1" max="1" width="6.33203125" style="28" customWidth="1"/>
    <col min="2" max="2" width="19.5" style="28" bestFit="1" customWidth="1"/>
    <col min="3" max="7" width="18.6640625" customWidth="1"/>
  </cols>
  <sheetData>
    <row r="1" spans="1:7" x14ac:dyDescent="0.2">
      <c r="A1" s="29" t="s">
        <v>94</v>
      </c>
    </row>
    <row r="2" spans="1:7" x14ac:dyDescent="0.2">
      <c r="B2" s="32" t="s">
        <v>92</v>
      </c>
      <c r="C2" s="7">
        <v>2019</v>
      </c>
      <c r="D2" s="7">
        <f>C2+1</f>
        <v>2020</v>
      </c>
      <c r="E2" s="7">
        <f t="shared" ref="E2:G2" si="0">D2+1</f>
        <v>2021</v>
      </c>
      <c r="F2" s="7">
        <f t="shared" si="0"/>
        <v>2022</v>
      </c>
      <c r="G2" s="7">
        <f t="shared" si="0"/>
        <v>2023</v>
      </c>
    </row>
    <row r="3" spans="1:7" x14ac:dyDescent="0.2">
      <c r="A3" s="28" t="str">
        <f>'Monthly Income Statement'!A3</f>
        <v>Revenue</v>
      </c>
    </row>
    <row r="4" spans="1:7" x14ac:dyDescent="0.2">
      <c r="B4" s="28" t="str">
        <f>'Monthly Income Statement'!B4</f>
        <v>Subscription</v>
      </c>
      <c r="C4" s="1">
        <f>SUM('Monthly Income Statement'!C4:N4)</f>
        <v>190346.52999999997</v>
      </c>
      <c r="D4" s="1">
        <f>SUM('Monthly Income Statement'!O4:Z4)</f>
        <v>655611.39</v>
      </c>
      <c r="E4" s="1">
        <f>SUM('Monthly Income Statement'!AA4:AL4)</f>
        <v>1021729.31</v>
      </c>
      <c r="F4" s="1">
        <f>SUM('Monthly Income Statement'!AM4:AX4)</f>
        <v>1447707.27</v>
      </c>
      <c r="G4" s="1">
        <f>SUM('Monthly Income Statement'!AY4:BJ4)</f>
        <v>2339519.9</v>
      </c>
    </row>
    <row r="5" spans="1:7" x14ac:dyDescent="0.2">
      <c r="B5" s="28" t="str">
        <f>'Monthly Income Statement'!B5</f>
        <v>Add-ons</v>
      </c>
      <c r="C5" s="1">
        <f>SUM('Monthly Income Statement'!C5:N5)</f>
        <v>19788.152600000001</v>
      </c>
      <c r="D5" s="1">
        <f>SUM('Monthly Income Statement'!O5:Z5)</f>
        <v>92168.754337500024</v>
      </c>
      <c r="E5" s="1">
        <f>SUM('Monthly Income Statement'!AA5:AL5)</f>
        <v>153259.39650000003</v>
      </c>
      <c r="F5" s="1">
        <f>SUM('Monthly Income Statement'!AM5:AX5)</f>
        <v>217156.09049999999</v>
      </c>
      <c r="G5" s="1">
        <f>SUM('Monthly Income Statement'!AY5:BJ5)</f>
        <v>350927.98499999999</v>
      </c>
    </row>
    <row r="6" spans="1:7" x14ac:dyDescent="0.2">
      <c r="B6" s="28" t="str">
        <f>'Monthly Income Statement'!B6</f>
        <v>eCommerce</v>
      </c>
      <c r="C6" s="1">
        <f>SUM('Monthly Income Statement'!C6:N6)</f>
        <v>121331.65070839786</v>
      </c>
      <c r="D6" s="1">
        <f>SUM('Monthly Income Statement'!O6:Z6)</f>
        <v>231228.1452003236</v>
      </c>
      <c r="E6" s="1">
        <f>SUM('Monthly Income Statement'!AA6:AL6)</f>
        <v>348400.54188505677</v>
      </c>
      <c r="F6" s="1">
        <f>SUM('Monthly Income Statement'!AM6:AX6)</f>
        <v>658253.02617290476</v>
      </c>
      <c r="G6" s="1">
        <f>SUM('Monthly Income Statement'!AY6:BJ6)</f>
        <v>1693632.9395326814</v>
      </c>
    </row>
    <row r="7" spans="1:7" x14ac:dyDescent="0.2">
      <c r="B7" s="28" t="str">
        <f>'Monthly Income Statement'!B7</f>
        <v>Advertising</v>
      </c>
      <c r="C7" s="1">
        <f>SUM('Monthly Income Statement'!C7:N7)</f>
        <v>598.66642549723031</v>
      </c>
      <c r="D7" s="1">
        <f>SUM('Monthly Income Statement'!O7:Z7)</f>
        <v>2425.4814420684238</v>
      </c>
      <c r="E7" s="1">
        <f>SUM('Monthly Income Statement'!AA7:AL7)</f>
        <v>4195.1391135582144</v>
      </c>
      <c r="F7" s="1">
        <f>SUM('Monthly Income Statement'!AM7:AX7)</f>
        <v>9488.8622236020856</v>
      </c>
      <c r="G7" s="1">
        <f>SUM('Monthly Income Statement'!AY7:BJ7)</f>
        <v>26051.988857760964</v>
      </c>
    </row>
    <row r="8" spans="1:7" s="7" customFormat="1" x14ac:dyDescent="0.2">
      <c r="A8" s="30" t="str">
        <f>'Monthly Income Statement'!A8</f>
        <v>Gross Revenue</v>
      </c>
      <c r="B8" s="30"/>
      <c r="C8" s="31">
        <f>SUM(C4:C7)</f>
        <v>332064.99973389506</v>
      </c>
      <c r="D8" s="31">
        <f t="shared" ref="D8:G8" si="1">SUM(D4:D7)</f>
        <v>981433.770979892</v>
      </c>
      <c r="E8" s="31">
        <f t="shared" si="1"/>
        <v>1527584.3874986151</v>
      </c>
      <c r="F8" s="31">
        <f t="shared" si="1"/>
        <v>2332605.2488965066</v>
      </c>
      <c r="G8" s="31">
        <f t="shared" si="1"/>
        <v>4410132.8133904422</v>
      </c>
    </row>
    <row r="9" spans="1:7" x14ac:dyDescent="0.2">
      <c r="C9" s="1"/>
      <c r="D9" s="1"/>
      <c r="E9" s="1"/>
      <c r="F9" s="1"/>
      <c r="G9" s="1"/>
    </row>
    <row r="10" spans="1:7" x14ac:dyDescent="0.2">
      <c r="A10" s="28" t="str">
        <f>'Monthly Income Statement'!A10</f>
        <v>Direct Costs</v>
      </c>
      <c r="C10" s="1"/>
      <c r="D10" s="1"/>
      <c r="E10" s="1"/>
      <c r="F10" s="1"/>
      <c r="G10" s="1"/>
    </row>
    <row r="11" spans="1:7" x14ac:dyDescent="0.2">
      <c r="B11" s="28" t="str">
        <f>'Monthly Income Statement'!B11</f>
        <v>Internet infrastructure</v>
      </c>
      <c r="C11" s="1">
        <f>SUM('Monthly Income Statement'!C11:N11)</f>
        <v>6034.7746665976465</v>
      </c>
      <c r="D11" s="1">
        <f>SUM('Monthly Income Statement'!O11:Z11)</f>
        <v>6062.2069582371014</v>
      </c>
      <c r="E11" s="1">
        <f>SUM('Monthly Income Statement'!AA11:AL11)</f>
        <v>6105.141331166873</v>
      </c>
      <c r="F11" s="1">
        <f>SUM('Monthly Income Statement'!AM11:AX11)</f>
        <v>6237.8160958296266</v>
      </c>
      <c r="G11" s="1">
        <f>SUM('Monthly Income Statement'!AY11:BJ11)</f>
        <v>6652.9320515729569</v>
      </c>
    </row>
    <row r="12" spans="1:7" x14ac:dyDescent="0.2">
      <c r="B12" s="28" t="str">
        <f>'Monthly Income Statement'!B12</f>
        <v>Subscription</v>
      </c>
      <c r="C12" s="1">
        <f>SUM('Monthly Income Statement'!C12:N12)</f>
        <v>142759.89749999999</v>
      </c>
      <c r="D12" s="1">
        <f>SUM('Monthly Income Statement'!O12:Z12)</f>
        <v>491708.54249999998</v>
      </c>
      <c r="E12" s="1">
        <f>SUM('Monthly Income Statement'!AA12:AL12)</f>
        <v>766296.98250000004</v>
      </c>
      <c r="F12" s="1">
        <f>SUM('Monthly Income Statement'!AM12:AX12)</f>
        <v>1085780.4524999999</v>
      </c>
      <c r="G12" s="1">
        <f>SUM('Monthly Income Statement'!AY12:BJ12)</f>
        <v>1754639.925</v>
      </c>
    </row>
    <row r="13" spans="1:7" x14ac:dyDescent="0.2">
      <c r="B13" s="28" t="str">
        <f>'Monthly Income Statement'!B13</f>
        <v>eCommerce</v>
      </c>
      <c r="C13" s="1">
        <f>SUM('Monthly Income Statement'!C13:N13)</f>
        <v>84932.155495878498</v>
      </c>
      <c r="D13" s="1">
        <f>SUM('Monthly Income Statement'!O13:Z13)</f>
        <v>161859.70164022653</v>
      </c>
      <c r="E13" s="1">
        <f>SUM('Monthly Income Statement'!AA13:AL13)</f>
        <v>243880.37931953964</v>
      </c>
      <c r="F13" s="1">
        <f>SUM('Monthly Income Statement'!AM13:AX13)</f>
        <v>460777.11832103331</v>
      </c>
      <c r="G13" s="1">
        <f>SUM('Monthly Income Statement'!AY13:BJ13)</f>
        <v>1185543.0576728771</v>
      </c>
    </row>
    <row r="14" spans="1:7" s="7" customFormat="1" x14ac:dyDescent="0.2">
      <c r="A14" s="29" t="str">
        <f>'Monthly Income Statement'!A14</f>
        <v>Total Costs</v>
      </c>
      <c r="B14" s="29"/>
      <c r="C14" s="20">
        <f>SUM(C11:C13)</f>
        <v>233726.82766247616</v>
      </c>
      <c r="D14" s="20">
        <f t="shared" ref="D14:G14" si="2">SUM(D11:D13)</f>
        <v>659630.45109846361</v>
      </c>
      <c r="E14" s="20">
        <f t="shared" si="2"/>
        <v>1016282.5031507065</v>
      </c>
      <c r="F14" s="20">
        <f t="shared" si="2"/>
        <v>1552795.3869168628</v>
      </c>
      <c r="G14" s="20">
        <f t="shared" si="2"/>
        <v>2946835.9147244501</v>
      </c>
    </row>
    <row r="15" spans="1:7" x14ac:dyDescent="0.2">
      <c r="C15" s="1"/>
      <c r="D15" s="1"/>
      <c r="E15" s="1"/>
      <c r="F15" s="1"/>
      <c r="G15" s="1"/>
    </row>
    <row r="16" spans="1:7" s="7" customFormat="1" x14ac:dyDescent="0.2">
      <c r="A16" s="29" t="str">
        <f>'Monthly Income Statement'!A16</f>
        <v>Gross Profit</v>
      </c>
      <c r="B16" s="29"/>
      <c r="C16" s="20">
        <f>C8-C14</f>
        <v>98338.1720714189</v>
      </c>
      <c r="D16" s="20">
        <f t="shared" ref="D16:G16" si="3">D8-D14</f>
        <v>321803.31988142838</v>
      </c>
      <c r="E16" s="20">
        <f t="shared" si="3"/>
        <v>511301.88434790855</v>
      </c>
      <c r="F16" s="20">
        <f t="shared" si="3"/>
        <v>779809.86197964381</v>
      </c>
      <c r="G16" s="20">
        <f t="shared" si="3"/>
        <v>1463296.8986659921</v>
      </c>
    </row>
    <row r="17" spans="1:7" x14ac:dyDescent="0.2">
      <c r="C17" s="1"/>
      <c r="D17" s="1"/>
      <c r="E17" s="1"/>
      <c r="F17" s="1"/>
      <c r="G17" s="1"/>
    </row>
    <row r="18" spans="1:7" x14ac:dyDescent="0.2">
      <c r="A18" s="28" t="str">
        <f>'Monthly Income Statement'!A18</f>
        <v>Marketing Costs</v>
      </c>
      <c r="C18" s="1"/>
      <c r="D18" s="1"/>
      <c r="E18" s="1"/>
      <c r="F18" s="1"/>
      <c r="G18" s="1"/>
    </row>
    <row r="19" spans="1:7" x14ac:dyDescent="0.2">
      <c r="B19" s="28" t="str">
        <f>'Monthly Income Statement'!B19</f>
        <v>CPC Spend</v>
      </c>
      <c r="C19" s="1">
        <f>SUM('Monthly Income Statement'!C19:N19)</f>
        <v>81206</v>
      </c>
      <c r="D19" s="1">
        <f>SUM('Monthly Income Statement'!O19:Z19)</f>
        <v>120000</v>
      </c>
      <c r="E19" s="1">
        <f>SUM('Monthly Income Statement'!AA19:AL19)</f>
        <v>120000</v>
      </c>
      <c r="F19" s="1">
        <f>SUM('Monthly Income Statement'!AM19:AX19)</f>
        <v>120000</v>
      </c>
      <c r="G19" s="1">
        <f>SUM('Monthly Income Statement'!AY19:BJ19)</f>
        <v>120000</v>
      </c>
    </row>
    <row r="20" spans="1:7" x14ac:dyDescent="0.2">
      <c r="B20" s="28" t="str">
        <f>'Monthly Income Statement'!B20</f>
        <v>Facebook Spend</v>
      </c>
      <c r="C20" s="1">
        <f>SUM('Monthly Income Statement'!C20:N20)</f>
        <v>81499</v>
      </c>
      <c r="D20" s="1">
        <f>SUM('Monthly Income Statement'!O20:Z20)</f>
        <v>120000</v>
      </c>
      <c r="E20" s="1">
        <f>SUM('Monthly Income Statement'!AA20:AL20)</f>
        <v>120000</v>
      </c>
      <c r="F20" s="1">
        <f>SUM('Monthly Income Statement'!AM20:AX20)</f>
        <v>120000</v>
      </c>
      <c r="G20" s="1">
        <f>SUM('Monthly Income Statement'!AY20:BJ20)</f>
        <v>120000</v>
      </c>
    </row>
    <row r="21" spans="1:7" s="7" customFormat="1" x14ac:dyDescent="0.2">
      <c r="A21" s="29" t="str">
        <f>'Monthly Income Statement'!A21</f>
        <v>Total Marketing Costs</v>
      </c>
      <c r="B21" s="29"/>
      <c r="C21" s="2">
        <f>SUM(C19:C20)</f>
        <v>162705</v>
      </c>
      <c r="D21" s="2">
        <f t="shared" ref="D21:G21" si="4">SUM(D19:D20)</f>
        <v>240000</v>
      </c>
      <c r="E21" s="2">
        <f t="shared" si="4"/>
        <v>240000</v>
      </c>
      <c r="F21" s="2">
        <f t="shared" si="4"/>
        <v>240000</v>
      </c>
      <c r="G21" s="2">
        <f t="shared" si="4"/>
        <v>240000</v>
      </c>
    </row>
    <row r="22" spans="1:7" x14ac:dyDescent="0.2">
      <c r="C22" s="1"/>
      <c r="D22" s="1"/>
      <c r="E22" s="1"/>
      <c r="F22" s="1"/>
      <c r="G22" s="1"/>
    </row>
    <row r="23" spans="1:7" s="7" customFormat="1" x14ac:dyDescent="0.2">
      <c r="A23" s="29" t="str">
        <f>'Monthly Income Statement'!A23</f>
        <v>Gross Profit - Sales and Marketing</v>
      </c>
      <c r="B23" s="29"/>
      <c r="C23" s="20">
        <f>C16-C21</f>
        <v>-64366.8279285811</v>
      </c>
      <c r="D23" s="20">
        <f t="shared" ref="D23:G23" si="5">D16-D21</f>
        <v>81803.319881428382</v>
      </c>
      <c r="E23" s="20">
        <f t="shared" si="5"/>
        <v>271301.88434790855</v>
      </c>
      <c r="F23" s="20">
        <f t="shared" si="5"/>
        <v>539809.86197964381</v>
      </c>
      <c r="G23" s="20">
        <f t="shared" si="5"/>
        <v>1223296.8986659921</v>
      </c>
    </row>
    <row r="24" spans="1:7" x14ac:dyDescent="0.2">
      <c r="C24" s="1"/>
      <c r="D24" s="1"/>
      <c r="E24" s="1"/>
      <c r="F24" s="1"/>
      <c r="G24" s="1"/>
    </row>
    <row r="25" spans="1:7" x14ac:dyDescent="0.2">
      <c r="A25" s="28" t="str">
        <f>'Monthly Income Statement'!A25</f>
        <v>Indirect Costs</v>
      </c>
      <c r="C25" s="1"/>
      <c r="D25" s="1"/>
      <c r="E25" s="1"/>
      <c r="F25" s="1"/>
      <c r="G25" s="1"/>
    </row>
    <row r="26" spans="1:7" x14ac:dyDescent="0.2">
      <c r="B26" s="28" t="str">
        <f>'Monthly Income Statement'!B26</f>
        <v>Salaries</v>
      </c>
      <c r="C26" s="1">
        <f>SUM('Monthly Income Statement'!C26:N26)</f>
        <v>675000.00000000023</v>
      </c>
      <c r="D26" s="1">
        <f>SUM('Monthly Income Statement'!O26:Z26)</f>
        <v>874999.99999999988</v>
      </c>
      <c r="E26" s="1">
        <f>SUM('Monthly Income Statement'!AA26:AL26)</f>
        <v>912499.99999999988</v>
      </c>
      <c r="F26" s="1">
        <f>SUM('Monthly Income Statement'!AM26:AX26)</f>
        <v>912499.99999999988</v>
      </c>
      <c r="G26" s="1">
        <f>SUM('Monthly Income Statement'!AY26:BJ26)</f>
        <v>937500.00000000023</v>
      </c>
    </row>
    <row r="27" spans="1:7" x14ac:dyDescent="0.2">
      <c r="B27" s="28" t="str">
        <f>'Monthly Income Statement'!B27</f>
        <v>Rent</v>
      </c>
      <c r="C27" s="1">
        <f>SUM('Monthly Income Statement'!C27:N27)</f>
        <v>38500</v>
      </c>
      <c r="D27" s="1">
        <f>SUM('Monthly Income Statement'!O27:Z27)</f>
        <v>49500</v>
      </c>
      <c r="E27" s="1">
        <f>SUM('Monthly Income Statement'!AA27:AL27)</f>
        <v>54000</v>
      </c>
      <c r="F27" s="1">
        <f>SUM('Monthly Income Statement'!AM27:AX27)</f>
        <v>54000</v>
      </c>
      <c r="G27" s="1">
        <f>SUM('Monthly Income Statement'!AY27:BJ27)</f>
        <v>57000</v>
      </c>
    </row>
    <row r="28" spans="1:7" x14ac:dyDescent="0.2">
      <c r="B28" s="28" t="str">
        <f>'Monthly Income Statement'!B28</f>
        <v>Technology</v>
      </c>
      <c r="C28" s="1">
        <f>SUM('Monthly Income Statement'!C28:N28)</f>
        <v>7700</v>
      </c>
      <c r="D28" s="1">
        <f>SUM('Monthly Income Statement'!O28:Z28)</f>
        <v>9900</v>
      </c>
      <c r="E28" s="1">
        <f>SUM('Monthly Income Statement'!AA28:AL28)</f>
        <v>10800</v>
      </c>
      <c r="F28" s="1">
        <f>SUM('Monthly Income Statement'!AM28:AX28)</f>
        <v>10800</v>
      </c>
      <c r="G28" s="1">
        <f>SUM('Monthly Income Statement'!AY28:BJ28)</f>
        <v>11400</v>
      </c>
    </row>
    <row r="29" spans="1:7" x14ac:dyDescent="0.2">
      <c r="B29" s="28" t="str">
        <f>'Monthly Income Statement'!B29</f>
        <v>Legal and Accounting</v>
      </c>
      <c r="C29" s="1">
        <f>SUM('Monthly Income Statement'!C29:N29)</f>
        <v>6000</v>
      </c>
      <c r="D29" s="1">
        <f>SUM('Monthly Income Statement'!O29:Z29)</f>
        <v>6000</v>
      </c>
      <c r="E29" s="1">
        <f>SUM('Monthly Income Statement'!AA29:AL29)</f>
        <v>6000</v>
      </c>
      <c r="F29" s="1">
        <f>SUM('Monthly Income Statement'!AM29:AX29)</f>
        <v>6000</v>
      </c>
      <c r="G29" s="1">
        <f>SUM('Monthly Income Statement'!AY29:BJ29)</f>
        <v>6000</v>
      </c>
    </row>
    <row r="30" spans="1:7" x14ac:dyDescent="0.2">
      <c r="B30" s="28" t="str">
        <f>'Monthly Income Statement'!B30</f>
        <v>Travel</v>
      </c>
      <c r="C30" s="1">
        <f>SUM('Monthly Income Statement'!C30:N30)</f>
        <v>19250</v>
      </c>
      <c r="D30" s="1">
        <f>SUM('Monthly Income Statement'!O30:Z30)</f>
        <v>24750</v>
      </c>
      <c r="E30" s="1">
        <f>SUM('Monthly Income Statement'!AA30:AL30)</f>
        <v>27000</v>
      </c>
      <c r="F30" s="1">
        <f>SUM('Monthly Income Statement'!AM30:AX30)</f>
        <v>27000</v>
      </c>
      <c r="G30" s="1">
        <f>SUM('Monthly Income Statement'!AY30:BJ30)</f>
        <v>28500</v>
      </c>
    </row>
    <row r="31" spans="1:7" x14ac:dyDescent="0.2">
      <c r="B31" s="28" t="str">
        <f>'Monthly Income Statement'!B31</f>
        <v>Training</v>
      </c>
      <c r="C31" s="1">
        <f>SUM('Monthly Income Statement'!C31:N31)</f>
        <v>7700</v>
      </c>
      <c r="D31" s="1">
        <f>SUM('Monthly Income Statement'!O31:Z31)</f>
        <v>9900</v>
      </c>
      <c r="E31" s="1">
        <f>SUM('Monthly Income Statement'!AA31:AL31)</f>
        <v>10800</v>
      </c>
      <c r="F31" s="1">
        <f>SUM('Monthly Income Statement'!AM31:AX31)</f>
        <v>10800</v>
      </c>
      <c r="G31" s="1">
        <f>SUM('Monthly Income Statement'!AY31:BJ31)</f>
        <v>11400</v>
      </c>
    </row>
    <row r="32" spans="1:7" x14ac:dyDescent="0.2">
      <c r="B32" s="28" t="str">
        <f>'Monthly Income Statement'!B32</f>
        <v>Recruiting</v>
      </c>
      <c r="C32" s="1">
        <f>SUM('Monthly Income Statement'!C32:N32)</f>
        <v>15000</v>
      </c>
      <c r="D32" s="1">
        <f>SUM('Monthly Income Statement'!O32:Z32)</f>
        <v>10000</v>
      </c>
      <c r="E32" s="1">
        <f>SUM('Monthly Income Statement'!AA32:AL32)</f>
        <v>0</v>
      </c>
      <c r="F32" s="1">
        <f>SUM('Monthly Income Statement'!AM32:AX32)</f>
        <v>0</v>
      </c>
      <c r="G32" s="1">
        <f>SUM('Monthly Income Statement'!AY32:BJ32)</f>
        <v>5000</v>
      </c>
    </row>
    <row r="33" spans="1:79" s="7" customFormat="1" x14ac:dyDescent="0.2">
      <c r="A33" s="29" t="str">
        <f>'Monthly Income Statement'!A33</f>
        <v>Total Indirect Costs</v>
      </c>
      <c r="B33" s="29"/>
      <c r="C33" s="2">
        <f>SUM(C26:C32)</f>
        <v>769150.00000000023</v>
      </c>
      <c r="D33" s="2">
        <f t="shared" ref="D33:G33" si="6">SUM(D26:D32)</f>
        <v>985049.99999999988</v>
      </c>
      <c r="E33" s="2">
        <f t="shared" si="6"/>
        <v>1021099.9999999999</v>
      </c>
      <c r="F33" s="2">
        <f t="shared" si="6"/>
        <v>1021099.9999999999</v>
      </c>
      <c r="G33" s="2">
        <f t="shared" si="6"/>
        <v>1056800.0000000002</v>
      </c>
    </row>
    <row r="34" spans="1:79" s="7" customFormat="1" x14ac:dyDescent="0.2">
      <c r="A34" s="29"/>
      <c r="B34" s="29"/>
      <c r="C34" s="2"/>
      <c r="D34" s="2"/>
      <c r="E34" s="2"/>
      <c r="F34" s="2"/>
      <c r="G34" s="2"/>
    </row>
    <row r="35" spans="1:79" s="33" customFormat="1" x14ac:dyDescent="0.2">
      <c r="B35" s="59" t="s">
        <v>71</v>
      </c>
      <c r="C35" s="60">
        <f>'Monthly Income Statement'!N38</f>
        <v>7</v>
      </c>
      <c r="D35" s="60">
        <f>'Monthly Income Statement'!Z38</f>
        <v>9</v>
      </c>
      <c r="E35" s="60">
        <f>'Monthly Income Statement'!AL38</f>
        <v>9</v>
      </c>
      <c r="F35" s="60">
        <f>'Monthly Income Statement'!AX38</f>
        <v>9</v>
      </c>
      <c r="G35" s="60">
        <f>'Monthly Income Statement'!BJ38</f>
        <v>10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</row>
    <row r="36" spans="1:79" s="7" customFormat="1" x14ac:dyDescent="0.2">
      <c r="A36" s="30" t="str">
        <f>'Monthly Income Statement'!A35</f>
        <v>EBITDA</v>
      </c>
      <c r="B36" s="30"/>
      <c r="C36" s="31">
        <f>C23-C33</f>
        <v>-833516.82792858128</v>
      </c>
      <c r="D36" s="31">
        <f t="shared" ref="D36:G36" si="7">D23-D33</f>
        <v>-903246.6801185715</v>
      </c>
      <c r="E36" s="31">
        <f t="shared" si="7"/>
        <v>-749798.11565209134</v>
      </c>
      <c r="F36" s="31">
        <f t="shared" si="7"/>
        <v>-481290.13802035607</v>
      </c>
      <c r="G36" s="31">
        <f t="shared" si="7"/>
        <v>166496.89866599184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</row>
    <row r="37" spans="1:79" x14ac:dyDescent="0.2"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</row>
    <row r="38" spans="1:79" s="33" customFormat="1" x14ac:dyDescent="0.2">
      <c r="A38" s="48"/>
      <c r="B38" s="49"/>
      <c r="C38" s="50"/>
      <c r="D38" s="50"/>
      <c r="E38" s="50"/>
      <c r="F38" s="50"/>
      <c r="G38" s="50"/>
    </row>
    <row r="39" spans="1:79" s="33" customFormat="1" x14ac:dyDescent="0.2">
      <c r="A39" s="48"/>
      <c r="B39" s="48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</row>
    <row r="40" spans="1:79" s="33" customFormat="1" x14ac:dyDescent="0.2">
      <c r="A40" s="48"/>
      <c r="B40" s="49"/>
      <c r="C40" s="50"/>
      <c r="D40" s="50"/>
      <c r="E40" s="50"/>
      <c r="F40" s="50"/>
      <c r="G40" s="5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</row>
  </sheetData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workbookViewId="0">
      <selection activeCell="A2" sqref="A2:XFD2"/>
    </sheetView>
    <sheetView zoomScale="220" zoomScaleNormal="220" zoomScalePageLayoutView="200" workbookViewId="1">
      <selection activeCell="C56" sqref="C56"/>
    </sheetView>
  </sheetViews>
  <sheetFormatPr baseColWidth="10" defaultRowHeight="16" x14ac:dyDescent="0.2"/>
  <cols>
    <col min="1" max="1" width="24.83203125" bestFit="1" customWidth="1"/>
    <col min="2" max="2" width="5.1640625" customWidth="1"/>
    <col min="3" max="3" width="14.5" bestFit="1" customWidth="1"/>
    <col min="4" max="6" width="12.6640625" bestFit="1" customWidth="1"/>
    <col min="7" max="7" width="14.33203125" bestFit="1" customWidth="1"/>
  </cols>
  <sheetData>
    <row r="1" spans="1:7" s="1" customFormat="1" x14ac:dyDescent="0.2">
      <c r="A1" s="1" t="s">
        <v>2</v>
      </c>
      <c r="C1" s="1" t="s">
        <v>92</v>
      </c>
    </row>
    <row r="2" spans="1:7" s="1" customFormat="1" x14ac:dyDescent="0.2">
      <c r="C2" s="76">
        <f>'Annual Income Statement'!C2</f>
        <v>2019</v>
      </c>
      <c r="D2" s="76">
        <f>'Annual Income Statement'!D2</f>
        <v>2020</v>
      </c>
      <c r="E2" s="76">
        <f>'Annual Income Statement'!E2</f>
        <v>2021</v>
      </c>
      <c r="F2" s="76">
        <f>'Annual Income Statement'!F2</f>
        <v>2022</v>
      </c>
      <c r="G2" s="76">
        <f>'Annual Income Statement'!G2</f>
        <v>2023</v>
      </c>
    </row>
    <row r="3" spans="1:7" x14ac:dyDescent="0.2">
      <c r="A3" t="str">
        <f>'Monthly Balance Sheet'!A3</f>
        <v>Assets:</v>
      </c>
      <c r="C3" s="1"/>
    </row>
    <row r="4" spans="1:7" x14ac:dyDescent="0.2">
      <c r="A4" s="37" t="str">
        <f>'Monthly Balance Sheet'!A4</f>
        <v>Cash</v>
      </c>
      <c r="C4" s="1">
        <f>'Monthly Balance Sheet'!N4</f>
        <v>159974.97070047163</v>
      </c>
      <c r="D4" s="1">
        <f>'Monthly Balance Sheet'!Z4</f>
        <v>1738482.6123882155</v>
      </c>
      <c r="E4" s="1">
        <f>'Monthly Balance Sheet'!AL4</f>
        <v>968277.31514181534</v>
      </c>
      <c r="F4" s="1">
        <f>'Monthly Balance Sheet'!AX4</f>
        <v>448309.56127631018</v>
      </c>
      <c r="G4" s="1">
        <f>'Monthly Balance Sheet'!BJ4</f>
        <v>504840.17321216542</v>
      </c>
    </row>
    <row r="5" spans="1:7" x14ac:dyDescent="0.2">
      <c r="A5" s="37" t="str">
        <f>'Monthly Balance Sheet'!A5</f>
        <v>Accounts Receivable</v>
      </c>
      <c r="C5" s="1">
        <f>'Monthly Balance Sheet'!N5</f>
        <v>55502.594298365722</v>
      </c>
      <c r="D5" s="1">
        <f>'Monthly Balance Sheet'!Z5</f>
        <v>102540.58580335179</v>
      </c>
      <c r="E5" s="1">
        <f>'Monthly Balance Sheet'!AL5</f>
        <v>150689.7719358239</v>
      </c>
      <c r="F5" s="1">
        <f>'Monthly Balance Sheet'!AX5</f>
        <v>244340.29859696055</v>
      </c>
      <c r="G5" s="1">
        <f>'Monthly Balance Sheet'!BJ5</f>
        <v>520366.4924084181</v>
      </c>
    </row>
    <row r="6" spans="1:7" x14ac:dyDescent="0.2">
      <c r="A6" s="37" t="str">
        <f>'Monthly Balance Sheet'!A6</f>
        <v>Inventory</v>
      </c>
      <c r="C6" s="1">
        <f>'Monthly Balance Sheet'!N6</f>
        <v>41626.94572377429</v>
      </c>
      <c r="D6" s="1">
        <f>'Monthly Balance Sheet'!Z6</f>
        <v>76905.439352513844</v>
      </c>
      <c r="E6" s="1">
        <f>'Monthly Balance Sheet'!AL6</f>
        <v>113017.32895186792</v>
      </c>
      <c r="F6" s="1">
        <f>'Monthly Balance Sheet'!AX6</f>
        <v>183255.22394772043</v>
      </c>
      <c r="G6" s="1">
        <f>'Monthly Balance Sheet'!BJ6</f>
        <v>390274.86930631357</v>
      </c>
    </row>
    <row r="7" spans="1:7" x14ac:dyDescent="0.2">
      <c r="A7" s="37" t="str">
        <f>'Monthly Balance Sheet'!A7</f>
        <v>Fixed Assets</v>
      </c>
      <c r="C7" s="1"/>
      <c r="D7" s="1"/>
      <c r="E7" s="1"/>
      <c r="F7" s="1"/>
      <c r="G7" s="1"/>
    </row>
    <row r="8" spans="1:7" x14ac:dyDescent="0.2">
      <c r="A8" s="37" t="str">
        <f>'Monthly Balance Sheet'!A8</f>
        <v>Accumulated Depreciation</v>
      </c>
      <c r="C8" s="1"/>
      <c r="D8" s="1"/>
      <c r="E8" s="1"/>
      <c r="F8" s="1"/>
      <c r="G8" s="1"/>
    </row>
    <row r="9" spans="1:7" s="20" customFormat="1" x14ac:dyDescent="0.2">
      <c r="A9" s="45" t="str">
        <f>'Monthly Balance Sheet'!A9</f>
        <v>Total Assets</v>
      </c>
      <c r="B9" s="31"/>
      <c r="C9" s="31">
        <f>'Monthly Balance Sheet'!N9</f>
        <v>257104.51072261165</v>
      </c>
      <c r="D9" s="31">
        <f>'Monthly Balance Sheet'!Z9</f>
        <v>1917928.6375440811</v>
      </c>
      <c r="E9" s="31">
        <f>'Monthly Balance Sheet'!AL9</f>
        <v>1231984.4160295073</v>
      </c>
      <c r="F9" s="31">
        <f>'Monthly Balance Sheet'!AX9</f>
        <v>875905.08382099122</v>
      </c>
      <c r="G9" s="31">
        <f>'Monthly Balance Sheet'!BJ9</f>
        <v>1415481.5349268971</v>
      </c>
    </row>
    <row r="10" spans="1:7" x14ac:dyDescent="0.2">
      <c r="C10" s="1"/>
      <c r="D10" s="1"/>
      <c r="E10" s="1"/>
      <c r="F10" s="1"/>
      <c r="G10" s="1"/>
    </row>
    <row r="11" spans="1:7" x14ac:dyDescent="0.2">
      <c r="A11" t="str">
        <f>'Monthly Balance Sheet'!A11</f>
        <v>Liabilities</v>
      </c>
      <c r="C11" s="1"/>
      <c r="D11" s="1"/>
      <c r="E11" s="1"/>
      <c r="F11" s="1"/>
      <c r="G11" s="1"/>
    </row>
    <row r="12" spans="1:7" x14ac:dyDescent="0.2">
      <c r="A12" s="37" t="str">
        <f>'Monthly Balance Sheet'!A12</f>
        <v>Accounts Payable</v>
      </c>
      <c r="C12" s="1">
        <f>'Monthly Balance Sheet'!N12</f>
        <v>90621.33865119268</v>
      </c>
      <c r="D12" s="1">
        <f>'Monthly Balance Sheet'!Z12</f>
        <v>154692.14559123333</v>
      </c>
      <c r="E12" s="1">
        <f>'Monthly Balance Sheet'!AL12</f>
        <v>218546.03972875106</v>
      </c>
      <c r="F12" s="1">
        <f>'Monthly Balance Sheet'!AX12</f>
        <v>343756.8455405914</v>
      </c>
      <c r="G12" s="1">
        <f>'Monthly Balance Sheet'!BJ12</f>
        <v>716836.3979805049</v>
      </c>
    </row>
    <row r="13" spans="1:7" x14ac:dyDescent="0.2">
      <c r="A13" s="37" t="str">
        <f>'Monthly Balance Sheet'!A13</f>
        <v>Short Term Debt</v>
      </c>
      <c r="C13" s="1"/>
      <c r="D13" s="1"/>
      <c r="E13" s="1"/>
      <c r="F13" s="1"/>
      <c r="G13" s="1"/>
    </row>
    <row r="14" spans="1:7" x14ac:dyDescent="0.2">
      <c r="A14" s="37" t="str">
        <f>'Monthly Balance Sheet'!A14</f>
        <v>Long Term Debt</v>
      </c>
      <c r="C14" s="1"/>
      <c r="D14" s="1"/>
      <c r="E14" s="1"/>
      <c r="F14" s="1"/>
      <c r="G14" s="1"/>
    </row>
    <row r="15" spans="1:7" s="7" customFormat="1" x14ac:dyDescent="0.2">
      <c r="A15" s="43" t="str">
        <f>'Monthly Balance Sheet'!A15</f>
        <v>Total Liabilities</v>
      </c>
      <c r="C15" s="2">
        <f>'Monthly Balance Sheet'!N15</f>
        <v>90621.33865119268</v>
      </c>
      <c r="D15" s="2">
        <f>'Monthly Balance Sheet'!Z15</f>
        <v>154692.14559123333</v>
      </c>
      <c r="E15" s="2">
        <f>'Monthly Balance Sheet'!AL15</f>
        <v>218546.03972875106</v>
      </c>
      <c r="F15" s="2">
        <f>'Monthly Balance Sheet'!AX15</f>
        <v>343756.8455405914</v>
      </c>
      <c r="G15" s="2">
        <f>'Monthly Balance Sheet'!BJ15</f>
        <v>716836.3979805049</v>
      </c>
    </row>
    <row r="16" spans="1:7" x14ac:dyDescent="0.2">
      <c r="C16" s="1"/>
      <c r="D16" s="1"/>
      <c r="E16" s="1"/>
      <c r="F16" s="1"/>
      <c r="G16" s="1"/>
    </row>
    <row r="17" spans="1:7" x14ac:dyDescent="0.2">
      <c r="A17" t="str">
        <f>'Monthly Balance Sheet'!A17</f>
        <v>Owners Equity</v>
      </c>
      <c r="C17" s="1"/>
      <c r="D17" s="1"/>
      <c r="E17" s="1"/>
      <c r="F17" s="1"/>
      <c r="G17" s="1"/>
    </row>
    <row r="18" spans="1:7" x14ac:dyDescent="0.2">
      <c r="A18" s="37" t="str">
        <f>'Monthly Balance Sheet'!A18</f>
        <v>Capital Stock</v>
      </c>
      <c r="C18" s="1">
        <f>'Monthly Balance Sheet'!N18</f>
        <v>1000000</v>
      </c>
      <c r="D18" s="1">
        <f>'Monthly Balance Sheet'!Z18</f>
        <v>3500000</v>
      </c>
      <c r="E18" s="1">
        <f>'Monthly Balance Sheet'!AL18</f>
        <v>3500000</v>
      </c>
      <c r="F18" s="1">
        <f>'Monthly Balance Sheet'!AX18</f>
        <v>3500000</v>
      </c>
      <c r="G18" s="1">
        <f>'Monthly Balance Sheet'!BJ18</f>
        <v>3500000</v>
      </c>
    </row>
    <row r="19" spans="1:7" x14ac:dyDescent="0.2">
      <c r="A19" s="37" t="str">
        <f>'Monthly Balance Sheet'!A19</f>
        <v>Retained Earnings</v>
      </c>
      <c r="C19" s="1">
        <f>'Monthly Balance Sheet'!N19</f>
        <v>-833516.82792858104</v>
      </c>
      <c r="D19" s="1">
        <f>'Monthly Balance Sheet'!Z19</f>
        <v>-1736763.5080471525</v>
      </c>
      <c r="E19" s="1">
        <f>'Monthly Balance Sheet'!AL19</f>
        <v>-2486561.6236992441</v>
      </c>
      <c r="F19" s="1">
        <f>'Monthly Balance Sheet'!AX19</f>
        <v>-2967851.7617196003</v>
      </c>
      <c r="G19" s="1">
        <f>'Monthly Balance Sheet'!BJ19</f>
        <v>-2801354.8630536078</v>
      </c>
    </row>
    <row r="20" spans="1:7" s="7" customFormat="1" x14ac:dyDescent="0.2">
      <c r="A20" s="43" t="str">
        <f>'Monthly Balance Sheet'!A20</f>
        <v>Total Equity</v>
      </c>
      <c r="C20" s="2">
        <f>'Monthly Balance Sheet'!N20</f>
        <v>166483.17207141896</v>
      </c>
      <c r="D20" s="2">
        <f>'Monthly Balance Sheet'!Z20</f>
        <v>1763236.4919528475</v>
      </c>
      <c r="E20" s="2">
        <f>'Monthly Balance Sheet'!AL20</f>
        <v>1013438.3763007559</v>
      </c>
      <c r="F20" s="2">
        <f>'Monthly Balance Sheet'!AX20</f>
        <v>532148.2382803997</v>
      </c>
      <c r="G20" s="2">
        <f>'Monthly Balance Sheet'!BJ20</f>
        <v>698645.13694639225</v>
      </c>
    </row>
    <row r="21" spans="1:7" x14ac:dyDescent="0.2">
      <c r="C21" s="1"/>
      <c r="D21" s="1"/>
      <c r="E21" s="1"/>
      <c r="F21" s="1"/>
      <c r="G21" s="1"/>
    </row>
    <row r="22" spans="1:7" s="20" customFormat="1" x14ac:dyDescent="0.2">
      <c r="A22" s="31" t="str">
        <f>'Monthly Balance Sheet'!A22</f>
        <v>Total Liabilities &amp; Equity</v>
      </c>
      <c r="B22" s="31"/>
      <c r="C22" s="31">
        <f>'Monthly Balance Sheet'!N22</f>
        <v>257104.51072261162</v>
      </c>
      <c r="D22" s="31">
        <f>'Monthly Balance Sheet'!Z22</f>
        <v>1917928.6375440808</v>
      </c>
      <c r="E22" s="31">
        <f>'Monthly Balance Sheet'!AL22</f>
        <v>1231984.4160295068</v>
      </c>
      <c r="F22" s="31">
        <f>'Monthly Balance Sheet'!AX22</f>
        <v>875905.0838209911</v>
      </c>
      <c r="G22" s="31">
        <f>'Monthly Balance Sheet'!BJ22</f>
        <v>1415481.5349268971</v>
      </c>
    </row>
    <row r="23" spans="1:7" x14ac:dyDescent="0.2">
      <c r="C23" s="1"/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workbookViewId="0">
      <selection activeCell="H30" sqref="H30"/>
    </sheetView>
    <sheetView tabSelected="1" zoomScale="220" zoomScaleNormal="220" zoomScalePageLayoutView="190" workbookViewId="1">
      <selection activeCell="C56" sqref="C56"/>
    </sheetView>
  </sheetViews>
  <sheetFormatPr baseColWidth="10" defaultRowHeight="16" x14ac:dyDescent="0.2"/>
  <cols>
    <col min="1" max="1" width="2.6640625" customWidth="1"/>
    <col min="2" max="2" width="31.1640625" customWidth="1"/>
    <col min="3" max="7" width="16" customWidth="1"/>
  </cols>
  <sheetData>
    <row r="1" spans="1:8" s="1" customFormat="1" x14ac:dyDescent="0.2">
      <c r="A1" s="1" t="s">
        <v>138</v>
      </c>
      <c r="C1" s="1" t="s">
        <v>92</v>
      </c>
    </row>
    <row r="2" spans="1:8" s="1" customFormat="1" x14ac:dyDescent="0.2">
      <c r="C2" s="76">
        <f>'Annual Income Statement'!C2</f>
        <v>2019</v>
      </c>
      <c r="D2" s="76">
        <f>'Annual Income Statement'!D2</f>
        <v>2020</v>
      </c>
      <c r="E2" s="76">
        <f>'Annual Income Statement'!E2</f>
        <v>2021</v>
      </c>
      <c r="F2" s="76">
        <f>'Annual Income Statement'!F2</f>
        <v>2022</v>
      </c>
      <c r="G2" s="76">
        <f>'Annual Income Statement'!G2</f>
        <v>2023</v>
      </c>
    </row>
    <row r="3" spans="1:8" x14ac:dyDescent="0.2">
      <c r="B3" t="str">
        <f>'Monthly Cash Flow'!B3</f>
        <v>Beginning Cash Balance</v>
      </c>
      <c r="C3" s="53">
        <f>'Monthly Cash Flow'!C3</f>
        <v>0</v>
      </c>
      <c r="D3" s="53">
        <f>'Monthly Cash Flow'!O3</f>
        <v>159974.97070047163</v>
      </c>
      <c r="E3" s="53">
        <f>'Monthly Cash Flow'!AA3</f>
        <v>1738482.6123882155</v>
      </c>
      <c r="F3" s="53">
        <f>'Monthly Cash Flow'!AM3</f>
        <v>968277.31514181534</v>
      </c>
      <c r="G3" s="53">
        <f>'Monthly Cash Flow'!AY3</f>
        <v>448309.56127631018</v>
      </c>
      <c r="H3" s="1"/>
    </row>
    <row r="4" spans="1:8" x14ac:dyDescent="0.2">
      <c r="C4" s="1"/>
      <c r="D4" s="1"/>
      <c r="E4" s="1"/>
      <c r="F4" s="1"/>
      <c r="G4" s="1"/>
      <c r="H4" s="1"/>
    </row>
    <row r="5" spans="1:8" x14ac:dyDescent="0.2">
      <c r="B5" s="37" t="str">
        <f>'Monthly Cash Flow'!B5</f>
        <v>Cash Receipts:</v>
      </c>
      <c r="C5" s="1"/>
      <c r="D5" s="1"/>
      <c r="E5" s="1"/>
      <c r="F5" s="1"/>
      <c r="G5" s="1"/>
      <c r="H5" s="1"/>
    </row>
    <row r="6" spans="1:8" x14ac:dyDescent="0.2">
      <c r="B6" s="38" t="str">
        <f>'Monthly Cash Flow'!B6</f>
        <v>Gross Sales</v>
      </c>
      <c r="C6" s="1">
        <f>SUM('Monthly Cash Flow'!C6:N6)</f>
        <v>332064.99973389506</v>
      </c>
      <c r="D6" s="1">
        <f>SUM('Monthly Cash Flow'!O6:Z6)</f>
        <v>981433.770979892</v>
      </c>
      <c r="E6" s="1">
        <f>SUM('Monthly Cash Flow'!AA6:AL6)</f>
        <v>1527584.3874986148</v>
      </c>
      <c r="F6" s="1">
        <f>SUM('Monthly Cash Flow'!AM6:AX6)</f>
        <v>2332605.2488965071</v>
      </c>
      <c r="G6" s="1">
        <f>SUM('Monthly Cash Flow'!AY6:BJ6)</f>
        <v>4410132.8133904422</v>
      </c>
      <c r="H6" s="1"/>
    </row>
    <row r="7" spans="1:8" x14ac:dyDescent="0.2">
      <c r="B7" s="38" t="str">
        <f>'Monthly Cash Flow'!B7</f>
        <v xml:space="preserve">Change in A/R </v>
      </c>
      <c r="C7" s="1">
        <f>0-'Monthly Balance Sheet'!N5</f>
        <v>-55502.594298365722</v>
      </c>
      <c r="D7" s="1">
        <f>'Monthly Balance Sheet'!N5-'Monthly Balance Sheet'!Z5</f>
        <v>-47037.991504986065</v>
      </c>
      <c r="E7" s="1">
        <f>'Monthly Balance Sheet'!Z5-'Monthly Balance Sheet'!AL5</f>
        <v>-48149.18613247211</v>
      </c>
      <c r="F7" s="1">
        <f>'Monthly Balance Sheet'!AL5-'Monthly Balance Sheet'!AX5</f>
        <v>-93650.526661136653</v>
      </c>
      <c r="G7" s="1">
        <f>'Monthly Balance Sheet'!AX5-'Monthly Balance Sheet'!BJ5</f>
        <v>-276026.19381145755</v>
      </c>
      <c r="H7" s="1"/>
    </row>
    <row r="8" spans="1:8" x14ac:dyDescent="0.2">
      <c r="B8" s="38"/>
      <c r="C8" s="1"/>
      <c r="D8" s="1"/>
      <c r="E8" s="1"/>
      <c r="F8" s="1"/>
      <c r="G8" s="1"/>
      <c r="H8" s="1"/>
    </row>
    <row r="9" spans="1:8" s="20" customFormat="1" x14ac:dyDescent="0.2">
      <c r="B9" s="51" t="str">
        <f>'Monthly Cash Flow'!B9</f>
        <v>Total Receipts</v>
      </c>
      <c r="C9" s="20">
        <f>SUM(C5:C8)</f>
        <v>276562.40543552936</v>
      </c>
      <c r="D9" s="20">
        <f>SUM(D5:D8)</f>
        <v>934395.77947490592</v>
      </c>
      <c r="E9" s="20">
        <f>SUM(E5:E8)</f>
        <v>1479435.2013661428</v>
      </c>
      <c r="F9" s="20">
        <f>SUM(F5:F8)</f>
        <v>2238954.7222353704</v>
      </c>
      <c r="G9" s="20">
        <f>SUM(G5:G8)</f>
        <v>4134106.6195789846</v>
      </c>
    </row>
    <row r="10" spans="1:8" x14ac:dyDescent="0.2">
      <c r="C10" s="1"/>
      <c r="D10" s="1"/>
      <c r="E10" s="1"/>
      <c r="F10" s="1"/>
      <c r="G10" s="1"/>
      <c r="H10" s="1"/>
    </row>
    <row r="11" spans="1:8" x14ac:dyDescent="0.2">
      <c r="B11" t="str">
        <f>'Monthly Cash Flow'!B11</f>
        <v>Disbursements:</v>
      </c>
      <c r="C11" s="1"/>
      <c r="D11" s="1"/>
      <c r="E11" s="1"/>
      <c r="F11" s="1"/>
      <c r="G11" s="1"/>
      <c r="H11" s="1"/>
    </row>
    <row r="12" spans="1:8" x14ac:dyDescent="0.2">
      <c r="B12" s="37" t="str">
        <f>'Monthly Cash Flow'!B12</f>
        <v>Gross Expenses</v>
      </c>
      <c r="C12" s="1">
        <f>SUM('Monthly Cash Flow'!C12:N12)</f>
        <v>-1165581.8276624763</v>
      </c>
      <c r="D12" s="1">
        <f>SUM('Monthly Cash Flow'!O12:Z12)</f>
        <v>-1884680.4510984635</v>
      </c>
      <c r="E12" s="1">
        <f>SUM('Monthly Cash Flow'!AA12:AL12)</f>
        <v>-2277382.5031507062</v>
      </c>
      <c r="F12" s="1">
        <f>SUM('Monthly Cash Flow'!AM12:AX12)</f>
        <v>-2813895.3869168628</v>
      </c>
      <c r="G12" s="1">
        <f>SUM('Monthly Cash Flow'!AY12:BJ12)</f>
        <v>-4243635.9147244496</v>
      </c>
      <c r="H12" s="1"/>
    </row>
    <row r="13" spans="1:8" x14ac:dyDescent="0.2">
      <c r="B13" s="37" t="str">
        <f>'Monthly Cash Flow'!B13</f>
        <v xml:space="preserve">Change in A/P </v>
      </c>
      <c r="C13" s="1">
        <f>'Monthly Balance Sheet'!N12-0</f>
        <v>90621.33865119268</v>
      </c>
      <c r="D13" s="1">
        <f>'Monthly Balance Sheet'!Z12-'Monthly Balance Sheet'!N12</f>
        <v>64070.806940040653</v>
      </c>
      <c r="E13" s="1">
        <f>'Monthly Balance Sheet'!AL12-'Monthly Balance Sheet'!Z12</f>
        <v>63853.894137517724</v>
      </c>
      <c r="F13" s="1">
        <f>'Monthly Balance Sheet'!AX12-'Monthly Balance Sheet'!AL12</f>
        <v>125210.80581184034</v>
      </c>
      <c r="G13" s="1">
        <f>'Monthly Balance Sheet'!BJ12-'Monthly Balance Sheet'!AX12</f>
        <v>373079.5524399135</v>
      </c>
      <c r="H13" s="1"/>
    </row>
    <row r="14" spans="1:8" x14ac:dyDescent="0.2">
      <c r="B14" s="37" t="str">
        <f>'Monthly Cash Flow'!B14</f>
        <v>Change in Inventory Value</v>
      </c>
      <c r="C14" s="1">
        <f>0-'Monthly Balance Sheet'!N6</f>
        <v>-41626.94572377429</v>
      </c>
      <c r="D14" s="1">
        <f>'Monthly Balance Sheet'!N6-'Monthly Balance Sheet'!Z6</f>
        <v>-35278.493628739554</v>
      </c>
      <c r="E14" s="1">
        <f>'Monthly Balance Sheet'!Z6-'Monthly Balance Sheet'!AL6</f>
        <v>-36111.889599354079</v>
      </c>
      <c r="F14" s="1">
        <f>'Monthly Balance Sheet'!AL6-'Monthly Balance Sheet'!AX6</f>
        <v>-70237.894995852505</v>
      </c>
      <c r="G14" s="1">
        <f>'Monthly Balance Sheet'!AX6-'Monthly Balance Sheet'!BJ6</f>
        <v>-207019.64535859314</v>
      </c>
      <c r="H14" s="1"/>
    </row>
    <row r="15" spans="1:8" x14ac:dyDescent="0.2">
      <c r="B15" s="37" t="str">
        <f>'Monthly Cash Flow'!B15</f>
        <v>Amortization &amp; Depreciation</v>
      </c>
      <c r="C15" s="1"/>
      <c r="D15" s="1"/>
      <c r="E15" s="1"/>
      <c r="F15" s="1"/>
      <c r="G15" s="1"/>
      <c r="H15" s="1"/>
    </row>
    <row r="16" spans="1:8" x14ac:dyDescent="0.2">
      <c r="B16" s="37" t="str">
        <f>'Monthly Cash Flow'!B16</f>
        <v>Capital Expenditures</v>
      </c>
      <c r="C16" s="1"/>
      <c r="D16" s="1"/>
      <c r="E16" s="1"/>
      <c r="F16" s="1"/>
      <c r="G16" s="1"/>
      <c r="H16" s="1"/>
    </row>
    <row r="17" spans="2:8" x14ac:dyDescent="0.2">
      <c r="B17" s="37" t="str">
        <f>'Monthly Cash Flow'!B17</f>
        <v>Income Tax Paid</v>
      </c>
      <c r="C17" s="1"/>
      <c r="D17" s="1"/>
      <c r="E17" s="1"/>
      <c r="F17" s="1"/>
      <c r="G17" s="1"/>
      <c r="H17" s="1"/>
    </row>
    <row r="18" spans="2:8" s="20" customFormat="1" x14ac:dyDescent="0.2">
      <c r="B18" s="44" t="str">
        <f>'Monthly Cash Flow'!B18</f>
        <v>Total Disbursements</v>
      </c>
      <c r="C18" s="20">
        <f>SUM(C11:C17)</f>
        <v>-1116587.4347350581</v>
      </c>
      <c r="D18" s="20">
        <f>SUM(D11:D17)</f>
        <v>-1855888.1377871626</v>
      </c>
      <c r="E18" s="20">
        <f>SUM(E11:E17)</f>
        <v>-2249640.4986125426</v>
      </c>
      <c r="F18" s="20">
        <f>SUM(F11:F17)</f>
        <v>-2758922.4761008751</v>
      </c>
      <c r="G18" s="20">
        <f>SUM(G11:G17)</f>
        <v>-4077576.0076431292</v>
      </c>
    </row>
    <row r="19" spans="2:8" x14ac:dyDescent="0.2">
      <c r="C19" s="1"/>
      <c r="D19" s="1"/>
      <c r="E19" s="1"/>
      <c r="F19" s="1"/>
      <c r="G19" s="1"/>
      <c r="H19" s="1"/>
    </row>
    <row r="20" spans="2:8" x14ac:dyDescent="0.2">
      <c r="B20" t="str">
        <f>'Monthly Cash Flow'!B20</f>
        <v>Net Cash Flow from Operations</v>
      </c>
      <c r="C20" s="1"/>
      <c r="D20" s="1"/>
      <c r="E20" s="1"/>
      <c r="F20" s="1"/>
      <c r="G20" s="1"/>
      <c r="H20" s="1"/>
    </row>
    <row r="21" spans="2:8" x14ac:dyDescent="0.2">
      <c r="C21" s="1"/>
      <c r="D21" s="1"/>
      <c r="E21" s="1"/>
      <c r="F21" s="1"/>
      <c r="G21" s="1"/>
      <c r="H21" s="1"/>
    </row>
    <row r="22" spans="2:8" x14ac:dyDescent="0.2">
      <c r="B22" s="37" t="str">
        <f>'Monthly Cash Flow'!B22</f>
        <v>Equity Financing</v>
      </c>
      <c r="C22" s="1">
        <f>SUM('Monthly Cash Flow'!C22:N22)</f>
        <v>1000000</v>
      </c>
      <c r="D22" s="1">
        <f>SUM('Monthly Cash Flow'!O22:Z22)</f>
        <v>2500000</v>
      </c>
      <c r="E22" s="1">
        <f>SUM('Monthly Cash Flow'!AA22:AL22)</f>
        <v>0</v>
      </c>
      <c r="F22" s="1">
        <f>SUM('Monthly Cash Flow'!AM22:AX22)</f>
        <v>0</v>
      </c>
      <c r="G22" s="1">
        <f>SUM('Monthly Cash Flow'!AY22:BJ22)</f>
        <v>0</v>
      </c>
      <c r="H22" s="1"/>
    </row>
    <row r="23" spans="2:8" x14ac:dyDescent="0.2">
      <c r="B23" s="37" t="str">
        <f>'Monthly Cash Flow'!B23</f>
        <v>Interest Income</v>
      </c>
      <c r="C23" s="1"/>
      <c r="D23" s="1"/>
      <c r="E23" s="1"/>
      <c r="F23" s="1"/>
      <c r="G23" s="1"/>
      <c r="H23" s="1"/>
    </row>
    <row r="24" spans="2:8" hidden="1" x14ac:dyDescent="0.2">
      <c r="B24" s="37" t="str">
        <f>'Monthly Cash Flow'!B24</f>
        <v>Short Term borrowing</v>
      </c>
      <c r="C24" s="1"/>
      <c r="D24" s="1"/>
      <c r="E24" s="1"/>
      <c r="F24" s="1"/>
      <c r="G24" s="1"/>
      <c r="H24" s="1"/>
    </row>
    <row r="25" spans="2:8" hidden="1" x14ac:dyDescent="0.2">
      <c r="B25" s="37" t="str">
        <f>'Monthly Cash Flow'!B25</f>
        <v>Short Term repayments</v>
      </c>
      <c r="C25" s="1"/>
      <c r="D25" s="1"/>
      <c r="E25" s="1"/>
      <c r="F25" s="1"/>
      <c r="G25" s="1"/>
      <c r="H25" s="1"/>
    </row>
    <row r="26" spans="2:8" x14ac:dyDescent="0.2">
      <c r="B26" s="37"/>
      <c r="C26" s="1"/>
      <c r="D26" s="1"/>
      <c r="E26" s="1"/>
      <c r="F26" s="1"/>
      <c r="G26" s="1"/>
      <c r="H26" s="1"/>
    </row>
    <row r="27" spans="2:8" s="20" customFormat="1" x14ac:dyDescent="0.2">
      <c r="B27" s="31" t="str">
        <f>'Monthly Cash Flow'!B27</f>
        <v>Ending Cash Balance</v>
      </c>
      <c r="C27" s="31">
        <f>'Monthly Cash Flow'!N27</f>
        <v>159974.97070047163</v>
      </c>
      <c r="D27" s="31">
        <f>'Monthly Cash Flow'!Z27</f>
        <v>1738482.6123882155</v>
      </c>
      <c r="E27" s="31">
        <f>'Monthly Cash Flow'!AL27</f>
        <v>968277.31514181534</v>
      </c>
      <c r="F27" s="31">
        <f>'Monthly Cash Flow'!AX27</f>
        <v>448309.56127631018</v>
      </c>
      <c r="G27" s="31">
        <f>'Monthly Cash Flow'!BJ27</f>
        <v>504840.17321216542</v>
      </c>
    </row>
    <row r="28" spans="2:8" x14ac:dyDescent="0.2">
      <c r="H28" s="1"/>
    </row>
    <row r="29" spans="2:8" x14ac:dyDescent="0.2">
      <c r="B29" s="52" t="s">
        <v>140</v>
      </c>
      <c r="C29" s="54">
        <f>MIN('Monthly Cash Flow'!C27:N27)</f>
        <v>159974.97070047163</v>
      </c>
      <c r="D29" s="54">
        <f>MIN('Monthly Cash Flow'!O27:Z27)</f>
        <v>1738482.6123882155</v>
      </c>
      <c r="E29" s="54">
        <f>MIN('Monthly Cash Flow'!AA27:AL27)</f>
        <v>968277.31514181534</v>
      </c>
      <c r="F29" s="54">
        <f>MIN('Monthly Cash Flow'!AM27:AX27)</f>
        <v>448309.56127631018</v>
      </c>
      <c r="G29" s="54">
        <f>MIN('Monthly Cash Flow'!AY27:BJ27)</f>
        <v>370764.4302364543</v>
      </c>
      <c r="H29" s="1"/>
    </row>
    <row r="30" spans="2:8" x14ac:dyDescent="0.2">
      <c r="C30" s="1"/>
      <c r="D30" s="1"/>
      <c r="E30" s="1"/>
      <c r="F30" s="1"/>
      <c r="G30" s="1"/>
      <c r="H30" s="1"/>
    </row>
    <row r="31" spans="2:8" x14ac:dyDescent="0.2">
      <c r="C31" s="1"/>
      <c r="D31" s="1"/>
      <c r="E31" s="1"/>
      <c r="F31" s="1"/>
      <c r="G31" s="1"/>
      <c r="H31" s="1"/>
    </row>
  </sheetData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J3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8" sqref="H8"/>
    </sheetView>
    <sheetView zoomScale="220" zoomScaleNormal="220" zoomScalePageLayoutView="150" workbookViewId="1">
      <pane xSplit="2" ySplit="2" topLeftCell="F3" activePane="bottomRight" state="frozen"/>
      <selection activeCell="C56" sqref="C56"/>
      <selection pane="topRight" activeCell="C56" sqref="C56"/>
      <selection pane="bottomLeft" activeCell="C56" sqref="C56"/>
      <selection pane="bottomRight" activeCell="C8" sqref="C8:N8"/>
    </sheetView>
  </sheetViews>
  <sheetFormatPr baseColWidth="10" defaultRowHeight="16" x14ac:dyDescent="0.2"/>
  <cols>
    <col min="1" max="1" width="5" customWidth="1"/>
    <col min="2" max="2" width="19.5" bestFit="1" customWidth="1"/>
    <col min="3" max="3" width="11.5" bestFit="1" customWidth="1"/>
    <col min="4" max="6" width="10.1640625" bestFit="1" customWidth="1"/>
    <col min="7" max="7" width="10.6640625" bestFit="1" customWidth="1"/>
    <col min="8" max="8" width="12.1640625" bestFit="1" customWidth="1"/>
    <col min="9" max="13" width="10.6640625" bestFit="1" customWidth="1"/>
    <col min="14" max="15" width="13.1640625" bestFit="1" customWidth="1"/>
    <col min="16" max="62" width="11.6640625" bestFit="1" customWidth="1"/>
  </cols>
  <sheetData>
    <row r="1" spans="1:62" s="1" customFormat="1" x14ac:dyDescent="0.2">
      <c r="A1" s="2" t="s">
        <v>93</v>
      </c>
    </row>
    <row r="2" spans="1:62" s="74" customFormat="1" x14ac:dyDescent="0.2">
      <c r="B2" s="75" t="s">
        <v>95</v>
      </c>
      <c r="C2" s="91">
        <v>43480</v>
      </c>
      <c r="D2" s="91">
        <v>43510</v>
      </c>
      <c r="E2" s="91">
        <v>43540</v>
      </c>
      <c r="F2" s="91">
        <v>43570</v>
      </c>
      <c r="G2" s="91">
        <v>43600</v>
      </c>
      <c r="H2" s="74">
        <f t="shared" ref="H2:BJ2" si="0">G2+30</f>
        <v>43630</v>
      </c>
      <c r="I2" s="74">
        <f t="shared" si="0"/>
        <v>43660</v>
      </c>
      <c r="J2" s="74">
        <f t="shared" si="0"/>
        <v>43690</v>
      </c>
      <c r="K2" s="74">
        <f t="shared" si="0"/>
        <v>43720</v>
      </c>
      <c r="L2" s="74">
        <f t="shared" si="0"/>
        <v>43750</v>
      </c>
      <c r="M2" s="74">
        <f t="shared" si="0"/>
        <v>43780</v>
      </c>
      <c r="N2" s="74">
        <f t="shared" si="0"/>
        <v>43810</v>
      </c>
      <c r="O2" s="74">
        <f t="shared" si="0"/>
        <v>43840</v>
      </c>
      <c r="P2" s="74">
        <f t="shared" si="0"/>
        <v>43870</v>
      </c>
      <c r="Q2" s="74">
        <f t="shared" si="0"/>
        <v>43900</v>
      </c>
      <c r="R2" s="74">
        <f t="shared" si="0"/>
        <v>43930</v>
      </c>
      <c r="S2" s="74">
        <f t="shared" si="0"/>
        <v>43960</v>
      </c>
      <c r="T2" s="74">
        <f t="shared" si="0"/>
        <v>43990</v>
      </c>
      <c r="U2" s="74">
        <f t="shared" si="0"/>
        <v>44020</v>
      </c>
      <c r="V2" s="74">
        <f t="shared" si="0"/>
        <v>44050</v>
      </c>
      <c r="W2" s="74">
        <f t="shared" si="0"/>
        <v>44080</v>
      </c>
      <c r="X2" s="74">
        <f t="shared" si="0"/>
        <v>44110</v>
      </c>
      <c r="Y2" s="74">
        <f t="shared" si="0"/>
        <v>44140</v>
      </c>
      <c r="Z2" s="74">
        <f t="shared" si="0"/>
        <v>44170</v>
      </c>
      <c r="AA2" s="74">
        <v>43845</v>
      </c>
      <c r="AB2" s="74">
        <f t="shared" si="0"/>
        <v>43875</v>
      </c>
      <c r="AC2" s="74">
        <f t="shared" si="0"/>
        <v>43905</v>
      </c>
      <c r="AD2" s="74">
        <f t="shared" si="0"/>
        <v>43935</v>
      </c>
      <c r="AE2" s="74">
        <f t="shared" si="0"/>
        <v>43965</v>
      </c>
      <c r="AF2" s="74">
        <f t="shared" si="0"/>
        <v>43995</v>
      </c>
      <c r="AG2" s="74">
        <f t="shared" si="0"/>
        <v>44025</v>
      </c>
      <c r="AH2" s="74">
        <f t="shared" si="0"/>
        <v>44055</v>
      </c>
      <c r="AI2" s="74">
        <f t="shared" si="0"/>
        <v>44085</v>
      </c>
      <c r="AJ2" s="74">
        <f t="shared" si="0"/>
        <v>44115</v>
      </c>
      <c r="AK2" s="74">
        <f t="shared" si="0"/>
        <v>44145</v>
      </c>
      <c r="AL2" s="74">
        <f t="shared" si="0"/>
        <v>44175</v>
      </c>
      <c r="AM2" s="74">
        <f t="shared" si="0"/>
        <v>44205</v>
      </c>
      <c r="AN2" s="74">
        <f t="shared" si="0"/>
        <v>44235</v>
      </c>
      <c r="AO2" s="74">
        <f t="shared" si="0"/>
        <v>44265</v>
      </c>
      <c r="AP2" s="74">
        <f t="shared" si="0"/>
        <v>44295</v>
      </c>
      <c r="AQ2" s="74">
        <f t="shared" si="0"/>
        <v>44325</v>
      </c>
      <c r="AR2" s="74">
        <f t="shared" si="0"/>
        <v>44355</v>
      </c>
      <c r="AS2" s="74">
        <f t="shared" si="0"/>
        <v>44385</v>
      </c>
      <c r="AT2" s="74">
        <f t="shared" si="0"/>
        <v>44415</v>
      </c>
      <c r="AU2" s="74">
        <f t="shared" si="0"/>
        <v>44445</v>
      </c>
      <c r="AV2" s="74">
        <f t="shared" si="0"/>
        <v>44475</v>
      </c>
      <c r="AW2" s="74">
        <f t="shared" si="0"/>
        <v>44505</v>
      </c>
      <c r="AX2" s="74">
        <f t="shared" si="0"/>
        <v>44535</v>
      </c>
      <c r="AY2" s="74">
        <v>44576</v>
      </c>
      <c r="AZ2" s="74">
        <f t="shared" si="0"/>
        <v>44606</v>
      </c>
      <c r="BA2" s="74">
        <f t="shared" si="0"/>
        <v>44636</v>
      </c>
      <c r="BB2" s="74">
        <f t="shared" si="0"/>
        <v>44666</v>
      </c>
      <c r="BC2" s="74">
        <f t="shared" si="0"/>
        <v>44696</v>
      </c>
      <c r="BD2" s="74">
        <f t="shared" si="0"/>
        <v>44726</v>
      </c>
      <c r="BE2" s="74">
        <f t="shared" si="0"/>
        <v>44756</v>
      </c>
      <c r="BF2" s="74">
        <f t="shared" si="0"/>
        <v>44786</v>
      </c>
      <c r="BG2" s="74">
        <f t="shared" si="0"/>
        <v>44816</v>
      </c>
      <c r="BH2" s="74">
        <f t="shared" si="0"/>
        <v>44846</v>
      </c>
      <c r="BI2" s="74">
        <f t="shared" si="0"/>
        <v>44876</v>
      </c>
      <c r="BJ2" s="74">
        <f t="shared" si="0"/>
        <v>44906</v>
      </c>
    </row>
    <row r="3" spans="1:62" x14ac:dyDescent="0.2">
      <c r="A3" t="s">
        <v>44</v>
      </c>
      <c r="C3" s="79"/>
      <c r="D3" s="79"/>
      <c r="E3" s="79"/>
      <c r="F3" s="79"/>
      <c r="G3" s="79"/>
    </row>
    <row r="4" spans="1:62" s="1" customFormat="1" x14ac:dyDescent="0.2">
      <c r="B4" s="1" t="s">
        <v>45</v>
      </c>
      <c r="C4" s="78">
        <v>3058.98</v>
      </c>
      <c r="D4" s="78">
        <v>3178.94</v>
      </c>
      <c r="E4" s="78">
        <v>3418.8599999999997</v>
      </c>
      <c r="F4" s="78">
        <v>3628.79</v>
      </c>
      <c r="G4" s="78">
        <v>8127.29</v>
      </c>
      <c r="H4" s="1">
        <f>'Sales Detail'!H11</f>
        <v>12415.859999999999</v>
      </c>
      <c r="I4" s="1">
        <f>'Sales Detail'!I11</f>
        <v>16554.48</v>
      </c>
      <c r="J4" s="1">
        <f>'Sales Detail'!J11</f>
        <v>20543.149999999998</v>
      </c>
      <c r="K4" s="1">
        <f>'Sales Detail'!K11</f>
        <v>24411.859999999997</v>
      </c>
      <c r="L4" s="1">
        <f>'Sales Detail'!L11</f>
        <v>28130.62</v>
      </c>
      <c r="M4" s="1">
        <f>'Sales Detail'!M11</f>
        <v>31699.429999999997</v>
      </c>
      <c r="N4" s="1">
        <f>'Sales Detail'!N11</f>
        <v>35178.269999999997</v>
      </c>
      <c r="O4" s="1">
        <f>'Sales Detail'!O11</f>
        <v>38537.15</v>
      </c>
      <c r="P4" s="1">
        <f>'Sales Detail'!P11</f>
        <v>41776.07</v>
      </c>
      <c r="Q4" s="1">
        <f>'Sales Detail'!Q11</f>
        <v>44895.03</v>
      </c>
      <c r="R4" s="1">
        <f>'Sales Detail'!R11</f>
        <v>47924.02</v>
      </c>
      <c r="S4" s="1">
        <f>'Sales Detail'!S11</f>
        <v>50833.049999999996</v>
      </c>
      <c r="T4" s="1">
        <f>'Sales Detail'!T11</f>
        <v>53682.1</v>
      </c>
      <c r="U4" s="1">
        <f>'Sales Detail'!U11</f>
        <v>56441.18</v>
      </c>
      <c r="V4" s="1">
        <f>'Sales Detail'!V11</f>
        <v>59140.28</v>
      </c>
      <c r="W4" s="1">
        <f>'Sales Detail'!W11</f>
        <v>61779.399999999994</v>
      </c>
      <c r="X4" s="1">
        <f>'Sales Detail'!X11</f>
        <v>64358.539999999994</v>
      </c>
      <c r="Y4" s="1">
        <f>'Sales Detail'!Y11</f>
        <v>66877.7</v>
      </c>
      <c r="Z4" s="1">
        <f>'Sales Detail'!Z11</f>
        <v>69366.87</v>
      </c>
      <c r="AA4" s="1">
        <f>'Sales Detail'!AA11</f>
        <v>71796.06</v>
      </c>
      <c r="AB4" s="1">
        <f>'Sales Detail'!AB11</f>
        <v>74225.25</v>
      </c>
      <c r="AC4" s="1">
        <f>'Sales Detail'!AC11</f>
        <v>76624.45</v>
      </c>
      <c r="AD4" s="1">
        <f>'Sales Detail'!AD11</f>
        <v>79023.649999999994</v>
      </c>
      <c r="AE4" s="1">
        <f>'Sales Detail'!AE11</f>
        <v>81422.849999999991</v>
      </c>
      <c r="AF4" s="1">
        <f>'Sales Detail'!AF11</f>
        <v>83822.049999999988</v>
      </c>
      <c r="AG4" s="1">
        <f>'Sales Detail'!AG11</f>
        <v>86221.25</v>
      </c>
      <c r="AH4" s="1">
        <f>'Sales Detail'!AH11</f>
        <v>88650.44</v>
      </c>
      <c r="AI4" s="1">
        <f>'Sales Detail'!AI11</f>
        <v>91139.61</v>
      </c>
      <c r="AJ4" s="1">
        <f>'Sales Detail'!AJ11</f>
        <v>93658.76999999999</v>
      </c>
      <c r="AK4" s="1">
        <f>'Sales Detail'!AK11</f>
        <v>96237.909999999989</v>
      </c>
      <c r="AL4" s="1">
        <f>'Sales Detail'!AL11</f>
        <v>98907.01999999999</v>
      </c>
      <c r="AM4" s="1">
        <f>'Sales Detail'!AM11</f>
        <v>101666.09999999999</v>
      </c>
      <c r="AN4" s="1">
        <f>'Sales Detail'!AN11</f>
        <v>104515.15</v>
      </c>
      <c r="AO4" s="1">
        <f>'Sales Detail'!AO11</f>
        <v>107514.15</v>
      </c>
      <c r="AP4" s="1">
        <f>'Sales Detail'!AP11</f>
        <v>110663.09999999999</v>
      </c>
      <c r="AQ4" s="1">
        <f>'Sales Detail'!AQ11</f>
        <v>113962</v>
      </c>
      <c r="AR4" s="1">
        <f>'Sales Detail'!AR11</f>
        <v>117470.82999999999</v>
      </c>
      <c r="AS4" s="1">
        <f>'Sales Detail'!AS11</f>
        <v>121159.59999999999</v>
      </c>
      <c r="AT4" s="1">
        <f>'Sales Detail'!AT11</f>
        <v>125088.29</v>
      </c>
      <c r="AU4" s="1">
        <f>'Sales Detail'!AU11</f>
        <v>129286.89</v>
      </c>
      <c r="AV4" s="1">
        <f>'Sales Detail'!AV11</f>
        <v>133815.38</v>
      </c>
      <c r="AW4" s="1">
        <f>'Sales Detail'!AW11</f>
        <v>138673.75999999998</v>
      </c>
      <c r="AX4" s="1">
        <f>'Sales Detail'!AX11</f>
        <v>143892.01999999999</v>
      </c>
      <c r="AY4" s="1">
        <f>'Sales Detail'!AY11</f>
        <v>149530.13999999998</v>
      </c>
      <c r="AZ4" s="1">
        <f>'Sales Detail'!AZ11</f>
        <v>155618.10999999999</v>
      </c>
      <c r="BA4" s="1">
        <f>'Sales Detail'!BA11</f>
        <v>162185.91999999998</v>
      </c>
      <c r="BB4" s="1">
        <f>'Sales Detail'!BB11</f>
        <v>169353.53</v>
      </c>
      <c r="BC4" s="1">
        <f>'Sales Detail'!BC11</f>
        <v>177120.94</v>
      </c>
      <c r="BD4" s="1">
        <f>'Sales Detail'!BD11</f>
        <v>185608.11</v>
      </c>
      <c r="BE4" s="1">
        <f>'Sales Detail'!BE11</f>
        <v>194815.03999999998</v>
      </c>
      <c r="BF4" s="1">
        <f>'Sales Detail'!BF11</f>
        <v>204891.68</v>
      </c>
      <c r="BG4" s="1">
        <f>'Sales Detail'!BG11</f>
        <v>215898.00999999998</v>
      </c>
      <c r="BH4" s="1">
        <f>'Sales Detail'!BH11</f>
        <v>227924</v>
      </c>
      <c r="BI4" s="1">
        <f>'Sales Detail'!BI11</f>
        <v>241089.61</v>
      </c>
      <c r="BJ4" s="1">
        <f>'Sales Detail'!BJ11</f>
        <v>255484.81</v>
      </c>
    </row>
    <row r="5" spans="1:62" s="1" customFormat="1" x14ac:dyDescent="0.2">
      <c r="B5" s="1" t="s">
        <v>46</v>
      </c>
      <c r="C5" s="78">
        <v>145</v>
      </c>
      <c r="D5" s="78">
        <v>245</v>
      </c>
      <c r="E5" s="78">
        <v>257</v>
      </c>
      <c r="F5" s="78">
        <v>302</v>
      </c>
      <c r="G5" s="78">
        <v>703</v>
      </c>
      <c r="H5" s="1">
        <f>'Sales Detail'!H15</f>
        <v>1163.9868750000001</v>
      </c>
      <c r="I5" s="1">
        <f>'Sales Detail'!I15</f>
        <v>1614.0617999999999</v>
      </c>
      <c r="J5" s="1">
        <f>'Sales Detail'!J15</f>
        <v>2079.9939375000004</v>
      </c>
      <c r="K5" s="1">
        <f>'Sales Detail'!K15</f>
        <v>2563.2453</v>
      </c>
      <c r="L5" s="1">
        <f>'Sales Detail'!L15</f>
        <v>3059.2049250000005</v>
      </c>
      <c r="M5" s="1">
        <f>'Sales Detail'!M15</f>
        <v>3566.1858750000006</v>
      </c>
      <c r="N5" s="1">
        <f>'Sales Detail'!N15</f>
        <v>4089.4738875000007</v>
      </c>
      <c r="O5" s="1">
        <f>'Sales Detail'!O15</f>
        <v>4624.4580000000005</v>
      </c>
      <c r="P5" s="1">
        <f>'Sales Detail'!P15</f>
        <v>5169.788662500001</v>
      </c>
      <c r="Q5" s="1">
        <f>'Sales Detail'!Q15</f>
        <v>5724.1163250000018</v>
      </c>
      <c r="R5" s="1">
        <f>'Sales Detail'!R15</f>
        <v>6290.0276250000015</v>
      </c>
      <c r="S5" s="1">
        <f>'Sales Detail'!S15</f>
        <v>6862.4617500000022</v>
      </c>
      <c r="T5" s="1">
        <f>'Sales Detail'!T15</f>
        <v>7448.3913750000029</v>
      </c>
      <c r="U5" s="1">
        <f>'Sales Detail'!U15</f>
        <v>8042.8681500000021</v>
      </c>
      <c r="V5" s="1">
        <f>'Sales Detail'!V15</f>
        <v>8649.2659500000027</v>
      </c>
      <c r="W5" s="1">
        <f>'Sales Detail'!W15</f>
        <v>9266.91</v>
      </c>
      <c r="X5" s="1">
        <f>'Sales Detail'!X15</f>
        <v>9653.780999999999</v>
      </c>
      <c r="Y5" s="1">
        <f>'Sales Detail'!Y15</f>
        <v>10031.655000000001</v>
      </c>
      <c r="Z5" s="1">
        <f>'Sales Detail'!Z15</f>
        <v>10405.030500000001</v>
      </c>
      <c r="AA5" s="1">
        <f>'Sales Detail'!AA15</f>
        <v>10769.409</v>
      </c>
      <c r="AB5" s="1">
        <f>'Sales Detail'!AB15</f>
        <v>11133.7875</v>
      </c>
      <c r="AC5" s="1">
        <f>'Sales Detail'!AC15</f>
        <v>11493.6675</v>
      </c>
      <c r="AD5" s="1">
        <f>'Sales Detail'!AD15</f>
        <v>11853.547500000001</v>
      </c>
      <c r="AE5" s="1">
        <f>'Sales Detail'!AE15</f>
        <v>12213.4275</v>
      </c>
      <c r="AF5" s="1">
        <f>'Sales Detail'!AF15</f>
        <v>12573.307499999999</v>
      </c>
      <c r="AG5" s="1">
        <f>'Sales Detail'!AG15</f>
        <v>12933.1875</v>
      </c>
      <c r="AH5" s="1">
        <f>'Sales Detail'!AH15</f>
        <v>13297.566000000001</v>
      </c>
      <c r="AI5" s="1">
        <f>'Sales Detail'!AI15</f>
        <v>13670.941499999999</v>
      </c>
      <c r="AJ5" s="1">
        <f>'Sales Detail'!AJ15</f>
        <v>14048.815500000001</v>
      </c>
      <c r="AK5" s="1">
        <f>'Sales Detail'!AK15</f>
        <v>14435.6865</v>
      </c>
      <c r="AL5" s="1">
        <f>'Sales Detail'!AL15</f>
        <v>14836.053</v>
      </c>
      <c r="AM5" s="1">
        <f>'Sales Detail'!AM15</f>
        <v>15249.914999999999</v>
      </c>
      <c r="AN5" s="1">
        <f>'Sales Detail'!AN15</f>
        <v>15677.272499999999</v>
      </c>
      <c r="AO5" s="1">
        <f>'Sales Detail'!AO15</f>
        <v>16127.122499999999</v>
      </c>
      <c r="AP5" s="1">
        <f>'Sales Detail'!AP15</f>
        <v>16599.465</v>
      </c>
      <c r="AQ5" s="1">
        <f>'Sales Detail'!AQ15</f>
        <v>17094.3</v>
      </c>
      <c r="AR5" s="1">
        <f>'Sales Detail'!AR15</f>
        <v>17620.624499999998</v>
      </c>
      <c r="AS5" s="1">
        <f>'Sales Detail'!AS15</f>
        <v>18173.939999999999</v>
      </c>
      <c r="AT5" s="1">
        <f>'Sales Detail'!AT15</f>
        <v>18763.2435</v>
      </c>
      <c r="AU5" s="1">
        <f>'Sales Detail'!AU15</f>
        <v>19393.033500000001</v>
      </c>
      <c r="AV5" s="1">
        <f>'Sales Detail'!AV15</f>
        <v>20072.307000000001</v>
      </c>
      <c r="AW5" s="1">
        <f>'Sales Detail'!AW15</f>
        <v>20801.063999999998</v>
      </c>
      <c r="AX5" s="1">
        <f>'Sales Detail'!AX15</f>
        <v>21583.803</v>
      </c>
      <c r="AY5" s="1">
        <f>'Sales Detail'!AY15</f>
        <v>22429.521000000001</v>
      </c>
      <c r="AZ5" s="1">
        <f>'Sales Detail'!AZ15</f>
        <v>23342.716499999999</v>
      </c>
      <c r="BA5" s="1">
        <f>'Sales Detail'!BA15</f>
        <v>24327.887999999999</v>
      </c>
      <c r="BB5" s="1">
        <f>'Sales Detail'!BB15</f>
        <v>25403.029500000001</v>
      </c>
      <c r="BC5" s="1">
        <f>'Sales Detail'!BC15</f>
        <v>26568.141</v>
      </c>
      <c r="BD5" s="1">
        <f>'Sales Detail'!BD15</f>
        <v>27841.216499999999</v>
      </c>
      <c r="BE5" s="1">
        <f>'Sales Detail'!BE15</f>
        <v>29222.256000000001</v>
      </c>
      <c r="BF5" s="1">
        <f>'Sales Detail'!BF15</f>
        <v>30733.752</v>
      </c>
      <c r="BG5" s="1">
        <f>'Sales Detail'!BG15</f>
        <v>32384.701499999999</v>
      </c>
      <c r="BH5" s="1">
        <f>'Sales Detail'!BH15</f>
        <v>34188.6</v>
      </c>
      <c r="BI5" s="1">
        <f>'Sales Detail'!BI15</f>
        <v>36163.441500000001</v>
      </c>
      <c r="BJ5" s="1">
        <f>'Sales Detail'!BJ15</f>
        <v>38322.7215</v>
      </c>
    </row>
    <row r="6" spans="1:62" s="1" customFormat="1" x14ac:dyDescent="0.2">
      <c r="B6" s="1" t="s">
        <v>47</v>
      </c>
      <c r="C6" s="78">
        <v>408.12</v>
      </c>
      <c r="D6" s="78">
        <v>515.44000000000005</v>
      </c>
      <c r="E6" s="78">
        <v>674.52</v>
      </c>
      <c r="F6" s="78">
        <v>981.75000000000011</v>
      </c>
      <c r="G6" s="78">
        <v>13602.51</v>
      </c>
      <c r="H6" s="1">
        <f>'Sales Detail'!H19</f>
        <v>13990.503600000002</v>
      </c>
      <c r="I6" s="1">
        <f>'Sales Detail'!I19</f>
        <v>14309.734428000002</v>
      </c>
      <c r="J6" s="1">
        <f>'Sales Detail'!J19</f>
        <v>14636.138287680003</v>
      </c>
      <c r="K6" s="1">
        <f>'Sales Detail'!K19</f>
        <v>15010.887762518403</v>
      </c>
      <c r="L6" s="1">
        <f>'Sales Detail'!L19</f>
        <v>15352.939139402019</v>
      </c>
      <c r="M6" s="1">
        <f>'Sales Detail'!M19</f>
        <v>15745.338510321886</v>
      </c>
      <c r="N6" s="1">
        <f>'Sales Detail'!N19</f>
        <v>16103.768980475556</v>
      </c>
      <c r="O6" s="1">
        <f>'Sales Detail'!O19</f>
        <v>16514.632707977416</v>
      </c>
      <c r="P6" s="1">
        <f>'Sales Detail'!P19</f>
        <v>16935.489476987164</v>
      </c>
      <c r="Q6" s="1">
        <f>'Sales Detail'!Q19</f>
        <v>17412.762362247711</v>
      </c>
      <c r="R6" s="1">
        <f>'Sales Detail'!R19</f>
        <v>17855.240514582816</v>
      </c>
      <c r="S6" s="1">
        <f>'Sales Detail'!S19</f>
        <v>18356.506369662395</v>
      </c>
      <c r="T6" s="1">
        <f>'Sales Detail'!T19</f>
        <v>18821.666007511434</v>
      </c>
      <c r="U6" s="1">
        <f>'Sales Detail'!U19</f>
        <v>19348.084478659017</v>
      </c>
      <c r="V6" s="1">
        <f>'Sales Detail'!V19</f>
        <v>19939.025973588607</v>
      </c>
      <c r="W6" s="1">
        <f>'Sales Detail'!W19</f>
        <v>20545.865894523911</v>
      </c>
      <c r="X6" s="1">
        <f>'Sales Detail'!X19</f>
        <v>21169.003801907194</v>
      </c>
      <c r="Y6" s="1">
        <f>'Sales Detail'!Y19</f>
        <v>21808.848879228</v>
      </c>
      <c r="Z6" s="1">
        <f>'Sales Detail'!Z19</f>
        <v>22521.018733447949</v>
      </c>
      <c r="AA6" s="1">
        <f>'Sales Detail'!AA19</f>
        <v>23252.951842285009</v>
      </c>
      <c r="AB6" s="1">
        <f>'Sales Detail'!AB19</f>
        <v>24062.582465752464</v>
      </c>
      <c r="AC6" s="1">
        <f>'Sales Detail'!AC19</f>
        <v>24953.8743031474</v>
      </c>
      <c r="AD6" s="1">
        <f>'Sales Detail'!AD19</f>
        <v>25871.192781051835</v>
      </c>
      <c r="AE6" s="1">
        <f>'Sales Detail'!AE19</f>
        <v>26876.166135733802</v>
      </c>
      <c r="AF6" s="1">
        <f>'Sales Detail'!AF19</f>
        <v>27910.989947490627</v>
      </c>
      <c r="AG6" s="1">
        <f>'Sales Detail'!AG19</f>
        <v>29103.267869969179</v>
      </c>
      <c r="AH6" s="1">
        <f>'Sales Detail'!AH19</f>
        <v>30332.072513367879</v>
      </c>
      <c r="AI6" s="1">
        <f>'Sales Detail'!AI19</f>
        <v>31664.35544252647</v>
      </c>
      <c r="AJ6" s="1">
        <f>'Sales Detail'!AJ19</f>
        <v>33172.370370476798</v>
      </c>
      <c r="AK6" s="1">
        <f>'Sales Detail'!AK19</f>
        <v>34728.040153368122</v>
      </c>
      <c r="AL6" s="1">
        <f>'Sales Detail'!AL19</f>
        <v>36472.678059887126</v>
      </c>
      <c r="AM6" s="1">
        <f>'Sales Detail'!AM19</f>
        <v>38416.020752674973</v>
      </c>
      <c r="AN6" s="1">
        <f>'Sales Detail'!AN19</f>
        <v>40495.341429845779</v>
      </c>
      <c r="AO6" s="1">
        <f>'Sales Detail'!AO19</f>
        <v>42791.048555508984</v>
      </c>
      <c r="AP6" s="1">
        <f>'Sales Detail'!AP19</f>
        <v>45313.93745992754</v>
      </c>
      <c r="AQ6" s="1">
        <f>'Sales Detail'!AQ19</f>
        <v>48075.208164007403</v>
      </c>
      <c r="AR6" s="1">
        <f>'Sales Detail'!AR19</f>
        <v>51165.315595513865</v>
      </c>
      <c r="AS6" s="1">
        <f>'Sales Detail'!AS19</f>
        <v>54520.625043503183</v>
      </c>
      <c r="AT6" s="1">
        <f>'Sales Detail'!AT19</f>
        <v>58317.769460249823</v>
      </c>
      <c r="AU6" s="1">
        <f>'Sales Detail'!AU19</f>
        <v>62412.316649357657</v>
      </c>
      <c r="AV6" s="1">
        <f>'Sales Detail'!AV19</f>
        <v>66988.662119491521</v>
      </c>
      <c r="AW6" s="1">
        <f>'Sales Detail'!AW19</f>
        <v>72071.266853041743</v>
      </c>
      <c r="AX6" s="1">
        <f>'Sales Detail'!AX19</f>
        <v>77685.514089782315</v>
      </c>
      <c r="AY6" s="1">
        <f>'Sales Detail'!AY19</f>
        <v>83948.298277088878</v>
      </c>
      <c r="AZ6" s="1">
        <f>'Sales Detail'!AZ19</f>
        <v>90892.371105446146</v>
      </c>
      <c r="BA6" s="1">
        <f>'Sales Detail'!BA19</f>
        <v>98551.71603640508</v>
      </c>
      <c r="BB6" s="1">
        <f>'Sales Detail'!BB19</f>
        <v>107153.79220669551</v>
      </c>
      <c r="BC6" s="1">
        <f>'Sales Detail'!BC19</f>
        <v>116746.69941572899</v>
      </c>
      <c r="BD6" s="1">
        <f>'Sales Detail'!BD19</f>
        <v>127380.35344815408</v>
      </c>
      <c r="BE6" s="1">
        <f>'Sales Detail'!BE19</f>
        <v>139310.51339590427</v>
      </c>
      <c r="BF6" s="1">
        <f>'Sales Detail'!BF19</f>
        <v>152603.14320265548</v>
      </c>
      <c r="BG6" s="1">
        <f>'Sales Detail'!BG19</f>
        <v>167432.79834578471</v>
      </c>
      <c r="BH6" s="1">
        <f>'Sales Detail'!BH19</f>
        <v>183985.09019745924</v>
      </c>
      <c r="BI6" s="1">
        <f>'Sales Detail'!BI19</f>
        <v>202457.19325328415</v>
      </c>
      <c r="BJ6" s="1">
        <f>'Sales Detail'!BJ19</f>
        <v>223170.97064807487</v>
      </c>
    </row>
    <row r="7" spans="1:62" s="1" customFormat="1" x14ac:dyDescent="0.2">
      <c r="B7" s="1" t="s">
        <v>48</v>
      </c>
      <c r="C7" s="78">
        <v>1.163745</v>
      </c>
      <c r="D7" s="78">
        <v>2.0117240000000001</v>
      </c>
      <c r="E7" s="78">
        <v>3.1397798000000003</v>
      </c>
      <c r="F7" s="78">
        <v>4.3179048000000009</v>
      </c>
      <c r="G7" s="78">
        <v>32.496064000000004</v>
      </c>
      <c r="H7" s="1">
        <f>'Sales Detail'!H25</f>
        <v>40.008032556800011</v>
      </c>
      <c r="I7" s="1">
        <f>'Sales Detail'!I25</f>
        <v>49.636212786331114</v>
      </c>
      <c r="J7" s="1">
        <f>'Sales Detail'!J25</f>
        <v>61.01728702504429</v>
      </c>
      <c r="K7" s="1">
        <f>'Sales Detail'!K25</f>
        <v>74.456373417732323</v>
      </c>
      <c r="L7" s="1">
        <f>'Sales Detail'!L25</f>
        <v>90.31592443732697</v>
      </c>
      <c r="M7" s="1">
        <f>'Sales Detail'!M25</f>
        <v>109.0219472838306</v>
      </c>
      <c r="N7" s="1">
        <f>'Sales Detail'!N25</f>
        <v>131.081430390165</v>
      </c>
      <c r="O7" s="1">
        <f>'Sales Detail'!O25</f>
        <v>148.56023052484412</v>
      </c>
      <c r="P7" s="1">
        <f>'Sales Detail'!P25</f>
        <v>161.44733158289353</v>
      </c>
      <c r="Q7" s="1">
        <f>'Sales Detail'!Q25</f>
        <v>175.0922037509981</v>
      </c>
      <c r="R7" s="1">
        <f>'Sales Detail'!R25</f>
        <v>189.58708491966493</v>
      </c>
      <c r="S7" s="1">
        <f>'Sales Detail'!S25</f>
        <v>194.78726563708182</v>
      </c>
      <c r="T7" s="1">
        <f>'Sales Detail'!T25</f>
        <v>200.46105075124049</v>
      </c>
      <c r="U7" s="1">
        <f>'Sales Detail'!U25</f>
        <v>206.66370090181499</v>
      </c>
      <c r="V7" s="1">
        <f>'Sales Detail'!V25</f>
        <v>213.44546919244704</v>
      </c>
      <c r="W7" s="1">
        <f>'Sales Detail'!W25</f>
        <v>220.86854671214206</v>
      </c>
      <c r="X7" s="1">
        <f>'Sales Detail'!X25</f>
        <v>228.9977227338068</v>
      </c>
      <c r="Y7" s="1">
        <f>'Sales Detail'!Y25</f>
        <v>237.90426545763791</v>
      </c>
      <c r="Z7" s="1">
        <f>'Sales Detail'!Z25</f>
        <v>247.66656990385212</v>
      </c>
      <c r="AA7" s="1">
        <f>'Sales Detail'!AA25</f>
        <v>258.37416234468787</v>
      </c>
      <c r="AB7" s="1">
        <f>'Sales Detail'!AB25</f>
        <v>270.11860900460709</v>
      </c>
      <c r="AC7" s="1">
        <f>'Sales Detail'!AC25</f>
        <v>283.01083715551823</v>
      </c>
      <c r="AD7" s="1">
        <f>'Sales Detail'!AD25</f>
        <v>297.16233319652054</v>
      </c>
      <c r="AE7" s="1">
        <f>'Sales Detail'!AE25</f>
        <v>312.70264484162306</v>
      </c>
      <c r="AF7" s="1">
        <f>'Sales Detail'!AF25</f>
        <v>329.77065365123576</v>
      </c>
      <c r="AG7" s="1">
        <f>'Sales Detail'!AG25</f>
        <v>348.51912934180984</v>
      </c>
      <c r="AH7" s="1">
        <f>'Sales Detail'!AH25</f>
        <v>369.11611860144126</v>
      </c>
      <c r="AI7" s="1">
        <f>'Sales Detail'!AI25</f>
        <v>391.74976453703579</v>
      </c>
      <c r="AJ7" s="1">
        <f>'Sales Detail'!AJ25</f>
        <v>416.62669539118986</v>
      </c>
      <c r="AK7" s="1">
        <f>'Sales Detail'!AK25</f>
        <v>443.96728955575935</v>
      </c>
      <c r="AL7" s="1">
        <f>'Sales Detail'!AL25</f>
        <v>474.02087593678573</v>
      </c>
      <c r="AM7" s="1">
        <f>'Sales Detail'!AM25</f>
        <v>507.06138715591482</v>
      </c>
      <c r="AN7" s="1">
        <f>'Sales Detail'!AN25</f>
        <v>543.3865281719568</v>
      </c>
      <c r="AO7" s="1">
        <f>'Sales Detail'!AO25</f>
        <v>583.32377443960274</v>
      </c>
      <c r="AP7" s="1">
        <f>'Sales Detail'!AP25</f>
        <v>627.23993245901363</v>
      </c>
      <c r="AQ7" s="1">
        <f>'Sales Detail'!AQ25</f>
        <v>675.53124753036548</v>
      </c>
      <c r="AR7" s="1">
        <f>'Sales Detail'!AR25</f>
        <v>728.63358948385246</v>
      </c>
      <c r="AS7" s="1">
        <f>'Sales Detail'!AS25</f>
        <v>787.03299863268808</v>
      </c>
      <c r="AT7" s="1">
        <f>'Sales Detail'!AT25</f>
        <v>851.25358572140726</v>
      </c>
      <c r="AU7" s="1">
        <f>'Sales Detail'!AU25</f>
        <v>921.88207699399868</v>
      </c>
      <c r="AV7" s="1">
        <f>'Sales Detail'!AV25</f>
        <v>999.55992121884913</v>
      </c>
      <c r="AW7" s="1">
        <f>'Sales Detail'!AW25</f>
        <v>1084.9956746161843</v>
      </c>
      <c r="AX7" s="1">
        <f>'Sales Detail'!AX25</f>
        <v>1178.9615071782534</v>
      </c>
      <c r="AY7" s="1">
        <f>'Sales Detail'!AY25</f>
        <v>1282.3100976465296</v>
      </c>
      <c r="AZ7" s="1">
        <f>'Sales Detail'!AZ25</f>
        <v>1395.9823552116329</v>
      </c>
      <c r="BA7" s="1">
        <f>'Sales Detail'!BA25</f>
        <v>1521.0093298832471</v>
      </c>
      <c r="BB7" s="1">
        <f>'Sales Detail'!BB25</f>
        <v>1658.5248474970219</v>
      </c>
      <c r="BC7" s="1">
        <f>'Sales Detail'!BC25</f>
        <v>1809.7856625471745</v>
      </c>
      <c r="BD7" s="1">
        <f>'Sales Detail'!BD25</f>
        <v>1976.1597212773427</v>
      </c>
      <c r="BE7" s="1">
        <f>'Sales Detail'!BE25</f>
        <v>2159.1649315555273</v>
      </c>
      <c r="BF7" s="1">
        <f>'Sales Detail'!BF25</f>
        <v>2360.456508336531</v>
      </c>
      <c r="BG7" s="1">
        <f>'Sales Detail'!BG25</f>
        <v>2581.8716468206344</v>
      </c>
      <c r="BH7" s="1">
        <f>'Sales Detail'!BH25</f>
        <v>2825.4197406031485</v>
      </c>
      <c r="BI7" s="1">
        <f>'Sales Detail'!BI25</f>
        <v>3093.3137560389141</v>
      </c>
      <c r="BJ7" s="1">
        <f>'Sales Detail'!BJ25</f>
        <v>3387.9902603432556</v>
      </c>
    </row>
    <row r="8" spans="1:62" s="7" customFormat="1" x14ac:dyDescent="0.2">
      <c r="A8" s="7" t="s">
        <v>28</v>
      </c>
      <c r="C8" s="89">
        <v>3613.2637449999997</v>
      </c>
      <c r="D8" s="89">
        <v>3941.3917240000001</v>
      </c>
      <c r="E8" s="89">
        <v>4353.519779799999</v>
      </c>
      <c r="F8" s="89">
        <v>4916.8579048000001</v>
      </c>
      <c r="G8" s="89">
        <v>22465.296064000002</v>
      </c>
      <c r="H8" s="20">
        <f t="shared" ref="H8:BJ8" si="1">SUM(H4:H7)</f>
        <v>27610.358507556801</v>
      </c>
      <c r="I8" s="20">
        <f t="shared" si="1"/>
        <v>32527.912440786335</v>
      </c>
      <c r="J8" s="20">
        <f t="shared" si="1"/>
        <v>37320.299512205049</v>
      </c>
      <c r="K8" s="20">
        <f t="shared" si="1"/>
        <v>42060.449435936134</v>
      </c>
      <c r="L8" s="20">
        <f t="shared" si="1"/>
        <v>46633.079988839345</v>
      </c>
      <c r="M8" s="20">
        <f t="shared" si="1"/>
        <v>51119.976332605707</v>
      </c>
      <c r="N8" s="20">
        <f t="shared" si="1"/>
        <v>55502.594298365722</v>
      </c>
      <c r="O8" s="20">
        <f t="shared" si="1"/>
        <v>59824.80093850226</v>
      </c>
      <c r="P8" s="20">
        <f t="shared" si="1"/>
        <v>64042.795471070058</v>
      </c>
      <c r="Q8" s="20">
        <f t="shared" si="1"/>
        <v>68207.000890998723</v>
      </c>
      <c r="R8" s="20">
        <f t="shared" si="1"/>
        <v>72258.875224502481</v>
      </c>
      <c r="S8" s="20">
        <f t="shared" si="1"/>
        <v>76246.805385299464</v>
      </c>
      <c r="T8" s="20">
        <f t="shared" si="1"/>
        <v>80152.618433262673</v>
      </c>
      <c r="U8" s="20">
        <f t="shared" si="1"/>
        <v>84038.796329560835</v>
      </c>
      <c r="V8" s="20">
        <f t="shared" si="1"/>
        <v>87942.017392781054</v>
      </c>
      <c r="W8" s="20">
        <f t="shared" si="1"/>
        <v>91813.044441236052</v>
      </c>
      <c r="X8" s="20">
        <f t="shared" si="1"/>
        <v>95410.322524641</v>
      </c>
      <c r="Y8" s="20">
        <f t="shared" si="1"/>
        <v>98956.108144685626</v>
      </c>
      <c r="Z8" s="20">
        <f t="shared" si="1"/>
        <v>102540.58580335179</v>
      </c>
      <c r="AA8" s="20">
        <f t="shared" si="1"/>
        <v>106076.79500462969</v>
      </c>
      <c r="AB8" s="20">
        <f t="shared" si="1"/>
        <v>109691.73857475708</v>
      </c>
      <c r="AC8" s="20">
        <f t="shared" si="1"/>
        <v>113355.00264030292</v>
      </c>
      <c r="AD8" s="20">
        <f t="shared" si="1"/>
        <v>117045.55261424836</v>
      </c>
      <c r="AE8" s="20">
        <f t="shared" si="1"/>
        <v>120825.14628057543</v>
      </c>
      <c r="AF8" s="20">
        <f t="shared" si="1"/>
        <v>124636.11810114185</v>
      </c>
      <c r="AG8" s="20">
        <f t="shared" si="1"/>
        <v>128606.22449931098</v>
      </c>
      <c r="AH8" s="20">
        <f t="shared" si="1"/>
        <v>132649.19463196932</v>
      </c>
      <c r="AI8" s="20">
        <f t="shared" si="1"/>
        <v>136866.65670706349</v>
      </c>
      <c r="AJ8" s="20">
        <f t="shared" si="1"/>
        <v>141296.58256586798</v>
      </c>
      <c r="AK8" s="20">
        <f t="shared" si="1"/>
        <v>145845.60394292386</v>
      </c>
      <c r="AL8" s="20">
        <f t="shared" si="1"/>
        <v>150689.7719358239</v>
      </c>
      <c r="AM8" s="20">
        <f t="shared" si="1"/>
        <v>155839.09713983088</v>
      </c>
      <c r="AN8" s="20">
        <f t="shared" si="1"/>
        <v>161231.15045801771</v>
      </c>
      <c r="AO8" s="20">
        <f t="shared" si="1"/>
        <v>167015.64482994858</v>
      </c>
      <c r="AP8" s="20">
        <f t="shared" si="1"/>
        <v>173203.74239238654</v>
      </c>
      <c r="AQ8" s="20">
        <f t="shared" si="1"/>
        <v>179807.03941153776</v>
      </c>
      <c r="AR8" s="20">
        <f t="shared" si="1"/>
        <v>186985.4036849977</v>
      </c>
      <c r="AS8" s="20">
        <f t="shared" si="1"/>
        <v>194641.19804213586</v>
      </c>
      <c r="AT8" s="20">
        <f t="shared" si="1"/>
        <v>203020.55654597122</v>
      </c>
      <c r="AU8" s="20">
        <f t="shared" si="1"/>
        <v>212014.12222635164</v>
      </c>
      <c r="AV8" s="20">
        <f t="shared" si="1"/>
        <v>221875.90904071036</v>
      </c>
      <c r="AW8" s="20">
        <f t="shared" si="1"/>
        <v>232631.0865276579</v>
      </c>
      <c r="AX8" s="20">
        <f t="shared" si="1"/>
        <v>244340.29859696055</v>
      </c>
      <c r="AY8" s="20">
        <f t="shared" si="1"/>
        <v>257190.26937473539</v>
      </c>
      <c r="AZ8" s="20">
        <f t="shared" si="1"/>
        <v>271249.17996065778</v>
      </c>
      <c r="BA8" s="20">
        <f t="shared" si="1"/>
        <v>286586.53336628835</v>
      </c>
      <c r="BB8" s="20">
        <f t="shared" si="1"/>
        <v>303568.87655419251</v>
      </c>
      <c r="BC8" s="20">
        <f t="shared" si="1"/>
        <v>322245.56607827614</v>
      </c>
      <c r="BD8" s="20">
        <f t="shared" si="1"/>
        <v>342805.83966943144</v>
      </c>
      <c r="BE8" s="20">
        <f t="shared" si="1"/>
        <v>365506.97432745976</v>
      </c>
      <c r="BF8" s="20">
        <f t="shared" si="1"/>
        <v>390589.03171099204</v>
      </c>
      <c r="BG8" s="20">
        <f t="shared" si="1"/>
        <v>418297.38149260532</v>
      </c>
      <c r="BH8" s="20">
        <f t="shared" si="1"/>
        <v>448923.10993806238</v>
      </c>
      <c r="BI8" s="20">
        <f t="shared" si="1"/>
        <v>482803.55850932305</v>
      </c>
      <c r="BJ8" s="20">
        <f t="shared" si="1"/>
        <v>520366.4924084181</v>
      </c>
    </row>
    <row r="9" spans="1:62" x14ac:dyDescent="0.2">
      <c r="C9" s="79"/>
      <c r="D9" s="79"/>
      <c r="E9" s="79"/>
      <c r="F9" s="79"/>
      <c r="G9" s="79"/>
    </row>
    <row r="10" spans="1:62" x14ac:dyDescent="0.2">
      <c r="A10" t="s">
        <v>43</v>
      </c>
      <c r="C10" s="79"/>
      <c r="D10" s="79"/>
      <c r="E10" s="79"/>
      <c r="F10" s="79"/>
      <c r="G10" s="79"/>
    </row>
    <row r="11" spans="1:62" x14ac:dyDescent="0.2">
      <c r="B11" t="s">
        <v>56</v>
      </c>
      <c r="C11" s="78">
        <v>500.33600000000001</v>
      </c>
      <c r="D11" s="78">
        <v>500.5025</v>
      </c>
      <c r="E11" s="78">
        <v>500.60599999999999</v>
      </c>
      <c r="F11" s="78">
        <v>500.69150000000002</v>
      </c>
      <c r="G11" s="78">
        <v>503.92950000000002</v>
      </c>
      <c r="H11" s="1">
        <f>InternetBaseCost+InternetCostPer1MMVisits*'Traffic Detail'!H18/1000000</f>
        <v>503.90078707507507</v>
      </c>
      <c r="I11" s="1">
        <f>InternetBaseCost+InternetCostPer1MMVisits*'Traffic Detail'!I18/1000000</f>
        <v>503.95962002507508</v>
      </c>
      <c r="J11" s="1">
        <f>InternetBaseCost+InternetCostPer1MMVisits*'Traffic Detail'!J18/1000000</f>
        <v>504.02274402007509</v>
      </c>
      <c r="K11" s="1">
        <f>InternetBaseCost+InternetCostPer1MMVisits*'Traffic Detail'!K18/1000000</f>
        <v>504.09062941457506</v>
      </c>
      <c r="L11" s="1">
        <f>InternetBaseCost+InternetCostPer1MMVisits*'Traffic Detail'!L18/1000000</f>
        <v>504.16387609852507</v>
      </c>
      <c r="M11" s="1">
        <f>InternetBaseCost+InternetCostPer1MMVisits*'Traffic Detail'!M18/1000000</f>
        <v>504.2429707008701</v>
      </c>
      <c r="N11" s="1">
        <f>InternetBaseCost+InternetCostPer1MMVisits*'Traffic Detail'!N18/1000000</f>
        <v>504.32853926344956</v>
      </c>
      <c r="O11" s="1">
        <f>InternetBaseCost+InternetCostPer1MMVisits*'Traffic Detail'!O18/1000000</f>
        <v>504.42143543228701</v>
      </c>
      <c r="P11" s="1">
        <f>InternetBaseCost+InternetCostPer1MMVisits*'Traffic Detail'!P18/1000000</f>
        <v>504.52233421800821</v>
      </c>
      <c r="Q11" s="1">
        <f>InternetBaseCost+InternetCostPer1MMVisits*'Traffic Detail'!Q18/1000000</f>
        <v>504.63206888230155</v>
      </c>
      <c r="R11" s="1">
        <f>InternetBaseCost+InternetCostPer1MMVisits*'Traffic Detail'!R18/1000000</f>
        <v>504.75155601302419</v>
      </c>
      <c r="S11" s="1">
        <f>InternetBaseCost+InternetCostPer1MMVisits*'Traffic Detail'!S18/1000000</f>
        <v>504.88188635681911</v>
      </c>
      <c r="T11" s="1">
        <f>InternetBaseCost+InternetCostPer1MMVisits*'Traffic Detail'!T18/1000000</f>
        <v>505.02408648499352</v>
      </c>
      <c r="U11" s="1">
        <f>InternetBaseCost+InternetCostPer1MMVisits*'Traffic Detail'!U18/1000000</f>
        <v>505.17954137598531</v>
      </c>
      <c r="V11" s="1">
        <f>InternetBaseCost+InternetCostPer1MMVisits*'Traffic Detail'!V18/1000000</f>
        <v>505.34951050607634</v>
      </c>
      <c r="W11" s="1">
        <f>InternetBaseCost+InternetCostPer1MMVisits*'Traffic Detail'!W18/1000000</f>
        <v>505.53555254917649</v>
      </c>
      <c r="X11" s="1">
        <f>InternetBaseCost+InternetCostPer1MMVisits*'Traffic Detail'!X18/1000000</f>
        <v>505.73929129658666</v>
      </c>
      <c r="Y11" s="1">
        <f>InternetBaseCost+InternetCostPer1MMVisits*'Traffic Detail'!Y18/1000000</f>
        <v>505.96251291873779</v>
      </c>
      <c r="Z11" s="1">
        <f>InternetBaseCost+InternetCostPer1MMVisits*'Traffic Detail'!Z18/1000000</f>
        <v>506.20718220310408</v>
      </c>
      <c r="AA11" s="1">
        <f>InternetBaseCost+InternetCostPer1MMVisits*'Traffic Detail'!AA18/1000000</f>
        <v>506.47554291590694</v>
      </c>
      <c r="AB11" s="1">
        <f>InternetBaseCost+InternetCostPer1MMVisits*'Traffic Detail'!AB18/1000000</f>
        <v>506.76988994999016</v>
      </c>
      <c r="AC11" s="1">
        <f>InternetBaseCost+InternetCostPer1MMVisits*'Traffic Detail'!AC18/1000000</f>
        <v>507.09300343748168</v>
      </c>
      <c r="AD11" s="1">
        <f>InternetBaseCost+InternetCostPer1MMVisits*'Traffic Detail'!AD18/1000000</f>
        <v>507.44767752372229</v>
      </c>
      <c r="AE11" s="1">
        <f>InternetBaseCost+InternetCostPer1MMVisits*'Traffic Detail'!AE18/1000000</f>
        <v>507.83715901858704</v>
      </c>
      <c r="AF11" s="1">
        <f>InternetBaseCost+InternetCostPer1MMVisits*'Traffic Detail'!AF18/1000000</f>
        <v>508.26492866293825</v>
      </c>
      <c r="AG11" s="1">
        <f>InternetBaseCost+InternetCostPer1MMVisits*'Traffic Detail'!AG18/1000000</f>
        <v>508.73481527172453</v>
      </c>
      <c r="AH11" s="1">
        <f>InternetBaseCost+InternetCostPer1MMVisits*'Traffic Detail'!AH18/1000000</f>
        <v>509.25103054138953</v>
      </c>
      <c r="AI11" s="1">
        <f>InternetBaseCost+InternetCostPer1MMVisits*'Traffic Detail'!AI18/1000000</f>
        <v>509.81828983802097</v>
      </c>
      <c r="AJ11" s="1">
        <f>InternetBaseCost+InternetCostPer1MMVisits*'Traffic Detail'!AJ18/1000000</f>
        <v>510.44177181431553</v>
      </c>
      <c r="AK11" s="1">
        <f>InternetBaseCost+InternetCostPer1MMVisits*'Traffic Detail'!AK18/1000000</f>
        <v>511.12699973823959</v>
      </c>
      <c r="AL11" s="1">
        <f>InternetBaseCost+InternetCostPer1MMVisits*'Traffic Detail'!AL18/1000000</f>
        <v>511.88022245455602</v>
      </c>
      <c r="AM11" s="1">
        <f>InternetBaseCost+InternetCostPer1MMVisits*'Traffic Detail'!AM18/1000000</f>
        <v>512.70830544250407</v>
      </c>
      <c r="AN11" s="1">
        <f>InternetBaseCost+InternetCostPer1MMVisits*'Traffic Detail'!AN18/1000000</f>
        <v>513.618709979247</v>
      </c>
      <c r="AO11" s="1">
        <f>InternetBaseCost+InternetCostPer1MMVisits*'Traffic Detail'!AO18/1000000</f>
        <v>514.6196434696642</v>
      </c>
      <c r="AP11" s="1">
        <f>InternetBaseCost+InternetCostPer1MMVisits*'Traffic Detail'!AP18/1000000</f>
        <v>515.72029905912314</v>
      </c>
      <c r="AQ11" s="1">
        <f>InternetBaseCost+InternetCostPer1MMVisits*'Traffic Detail'!AQ18/1000000</f>
        <v>516.930607707528</v>
      </c>
      <c r="AR11" s="1">
        <f>InternetBaseCost+InternetCostPer1MMVisits*'Traffic Detail'!AR18/1000000</f>
        <v>518.26149347077319</v>
      </c>
      <c r="AS11" s="1">
        <f>InternetBaseCost+InternetCostPer1MMVisits*'Traffic Detail'!AS18/1000000</f>
        <v>519.72513781034309</v>
      </c>
      <c r="AT11" s="1">
        <f>InternetBaseCost+InternetCostPer1MMVisits*'Traffic Detail'!AT18/1000000</f>
        <v>521.33467633386988</v>
      </c>
      <c r="AU11" s="1">
        <f>InternetBaseCost+InternetCostPer1MMVisits*'Traffic Detail'!AU18/1000000</f>
        <v>523.10481395974932</v>
      </c>
      <c r="AV11" s="1">
        <f>InternetBaseCost+InternetCostPer1MMVisits*'Traffic Detail'!AV18/1000000</f>
        <v>525.05162709821673</v>
      </c>
      <c r="AW11" s="1">
        <f>InternetBaseCost+InternetCostPer1MMVisits*'Traffic Detail'!AW18/1000000</f>
        <v>527.19287405053092</v>
      </c>
      <c r="AX11" s="1">
        <f>InternetBaseCost+InternetCostPer1MMVisits*'Traffic Detail'!AX18/1000000</f>
        <v>529.54790744807656</v>
      </c>
      <c r="AY11" s="1">
        <f>InternetBaseCost+InternetCostPer1MMVisits*'Traffic Detail'!AY18/1000000</f>
        <v>532.13809768537669</v>
      </c>
      <c r="AZ11" s="1">
        <f>InternetBaseCost+InternetCostPer1MMVisits*'Traffic Detail'!AZ18/1000000</f>
        <v>534.98702644640684</v>
      </c>
      <c r="BA11" s="1">
        <f>InternetBaseCost+InternetCostPer1MMVisits*'Traffic Detail'!BA18/1000000</f>
        <v>538.12053458354001</v>
      </c>
      <c r="BB11" s="1">
        <f>InternetBaseCost+InternetCostPer1MMVisits*'Traffic Detail'!BB18/1000000</f>
        <v>541.56703878438645</v>
      </c>
      <c r="BC11" s="1">
        <f>InternetBaseCost+InternetCostPer1MMVisits*'Traffic Detail'!BC18/1000000</f>
        <v>545.35803665531762</v>
      </c>
      <c r="BD11" s="1">
        <f>InternetBaseCost+InternetCostPer1MMVisits*'Traffic Detail'!BD18/1000000</f>
        <v>549.52781256334185</v>
      </c>
      <c r="BE11" s="1">
        <f>InternetBaseCost+InternetCostPer1MMVisits*'Traffic Detail'!BE18/1000000</f>
        <v>554.11440931216862</v>
      </c>
      <c r="BF11" s="1">
        <f>InternetBaseCost+InternetCostPer1MMVisits*'Traffic Detail'!BF18/1000000</f>
        <v>559.15931098587794</v>
      </c>
      <c r="BG11" s="1">
        <f>InternetBaseCost+InternetCostPer1MMVisits*'Traffic Detail'!BG18/1000000</f>
        <v>564.70856257695823</v>
      </c>
      <c r="BH11" s="1">
        <f>InternetBaseCost+InternetCostPer1MMVisits*'Traffic Detail'!BH18/1000000</f>
        <v>570.8125248271466</v>
      </c>
      <c r="BI11" s="1">
        <f>InternetBaseCost+InternetCostPer1MMVisits*'Traffic Detail'!BI18/1000000</f>
        <v>577.52666055235363</v>
      </c>
      <c r="BJ11" s="1">
        <f>InternetBaseCost+InternetCostPer1MMVisits*'Traffic Detail'!BJ18/1000000</f>
        <v>584.91203660008159</v>
      </c>
    </row>
    <row r="12" spans="1:62" s="1" customFormat="1" x14ac:dyDescent="0.2">
      <c r="B12" s="1" t="s">
        <v>45</v>
      </c>
      <c r="C12" s="78">
        <v>2294.2350000000001</v>
      </c>
      <c r="D12" s="78">
        <v>2384.2049999999999</v>
      </c>
      <c r="E12" s="78">
        <v>2564.1449999999995</v>
      </c>
      <c r="F12" s="78">
        <v>2721.5924999999997</v>
      </c>
      <c r="G12" s="78">
        <v>6095.4674999999997</v>
      </c>
      <c r="H12" s="1">
        <f t="shared" ref="H12:AH12" si="2">(1-SubscriptionMargin)*H4</f>
        <v>9311.8949999999986</v>
      </c>
      <c r="I12" s="1">
        <f t="shared" si="2"/>
        <v>12415.86</v>
      </c>
      <c r="J12" s="1">
        <f t="shared" si="2"/>
        <v>15407.362499999999</v>
      </c>
      <c r="K12" s="1">
        <f t="shared" si="2"/>
        <v>18308.894999999997</v>
      </c>
      <c r="L12" s="1">
        <f t="shared" si="2"/>
        <v>21097.965</v>
      </c>
      <c r="M12" s="1">
        <f t="shared" si="2"/>
        <v>23774.572499999998</v>
      </c>
      <c r="N12" s="1">
        <f t="shared" si="2"/>
        <v>26383.702499999999</v>
      </c>
      <c r="O12" s="1">
        <f t="shared" si="2"/>
        <v>28902.862500000003</v>
      </c>
      <c r="P12" s="1">
        <f t="shared" si="2"/>
        <v>31332.052499999998</v>
      </c>
      <c r="Q12" s="1">
        <f t="shared" si="2"/>
        <v>33671.272499999999</v>
      </c>
      <c r="R12" s="1">
        <f t="shared" si="2"/>
        <v>35943.014999999999</v>
      </c>
      <c r="S12" s="1">
        <f t="shared" si="2"/>
        <v>38124.787499999999</v>
      </c>
      <c r="T12" s="1">
        <f t="shared" si="2"/>
        <v>40261.574999999997</v>
      </c>
      <c r="U12" s="1">
        <f t="shared" si="2"/>
        <v>42330.885000000002</v>
      </c>
      <c r="V12" s="1">
        <f t="shared" si="2"/>
        <v>44355.21</v>
      </c>
      <c r="W12" s="1">
        <f t="shared" si="2"/>
        <v>46334.549999999996</v>
      </c>
      <c r="X12" s="1">
        <f t="shared" si="2"/>
        <v>48268.904999999999</v>
      </c>
      <c r="Y12" s="1">
        <f t="shared" si="2"/>
        <v>50158.274999999994</v>
      </c>
      <c r="Z12" s="1">
        <f t="shared" si="2"/>
        <v>52025.152499999997</v>
      </c>
      <c r="AA12" s="1">
        <f t="shared" si="2"/>
        <v>53847.044999999998</v>
      </c>
      <c r="AB12" s="1">
        <f t="shared" si="2"/>
        <v>55668.9375</v>
      </c>
      <c r="AC12" s="1">
        <f t="shared" si="2"/>
        <v>57468.337499999994</v>
      </c>
      <c r="AD12" s="1">
        <f t="shared" si="2"/>
        <v>59267.737499999996</v>
      </c>
      <c r="AE12" s="1">
        <f t="shared" si="2"/>
        <v>61067.137499999997</v>
      </c>
      <c r="AF12" s="1">
        <f t="shared" si="2"/>
        <v>62866.537499999991</v>
      </c>
      <c r="AG12" s="1">
        <f t="shared" si="2"/>
        <v>64665.9375</v>
      </c>
      <c r="AH12" s="1">
        <f t="shared" si="2"/>
        <v>66487.83</v>
      </c>
      <c r="AI12" s="1">
        <f t="shared" ref="AI12:BJ12" si="3">(1-SubscriptionMargin)*AI4</f>
        <v>68354.707500000004</v>
      </c>
      <c r="AJ12" s="1">
        <f t="shared" si="3"/>
        <v>70244.077499999985</v>
      </c>
      <c r="AK12" s="1">
        <f t="shared" si="3"/>
        <v>72178.432499999995</v>
      </c>
      <c r="AL12" s="1">
        <f t="shared" si="3"/>
        <v>74180.264999999985</v>
      </c>
      <c r="AM12" s="1">
        <f t="shared" si="3"/>
        <v>76249.574999999997</v>
      </c>
      <c r="AN12" s="1">
        <f t="shared" si="3"/>
        <v>78386.362499999988</v>
      </c>
      <c r="AO12" s="1">
        <f t="shared" si="3"/>
        <v>80635.612499999988</v>
      </c>
      <c r="AP12" s="1">
        <f t="shared" si="3"/>
        <v>82997.324999999997</v>
      </c>
      <c r="AQ12" s="1">
        <f t="shared" si="3"/>
        <v>85471.5</v>
      </c>
      <c r="AR12" s="1">
        <f t="shared" si="3"/>
        <v>88103.122499999998</v>
      </c>
      <c r="AS12" s="1">
        <f t="shared" si="3"/>
        <v>90869.7</v>
      </c>
      <c r="AT12" s="1">
        <f t="shared" si="3"/>
        <v>93816.217499999999</v>
      </c>
      <c r="AU12" s="1">
        <f t="shared" si="3"/>
        <v>96965.167499999996</v>
      </c>
      <c r="AV12" s="1">
        <f t="shared" si="3"/>
        <v>100361.535</v>
      </c>
      <c r="AW12" s="1">
        <f t="shared" si="3"/>
        <v>104005.31999999998</v>
      </c>
      <c r="AX12" s="1">
        <f t="shared" si="3"/>
        <v>107919.01499999998</v>
      </c>
      <c r="AY12" s="1">
        <f t="shared" si="3"/>
        <v>112147.60499999998</v>
      </c>
      <c r="AZ12" s="1">
        <f t="shared" si="3"/>
        <v>116713.58249999999</v>
      </c>
      <c r="BA12" s="1">
        <f t="shared" si="3"/>
        <v>121639.43999999999</v>
      </c>
      <c r="BB12" s="1">
        <f t="shared" si="3"/>
        <v>127015.14749999999</v>
      </c>
      <c r="BC12" s="1">
        <f t="shared" si="3"/>
        <v>132840.70500000002</v>
      </c>
      <c r="BD12" s="1">
        <f t="shared" si="3"/>
        <v>139206.08249999999</v>
      </c>
      <c r="BE12" s="1">
        <f t="shared" si="3"/>
        <v>146111.27999999997</v>
      </c>
      <c r="BF12" s="1">
        <f t="shared" si="3"/>
        <v>153668.76</v>
      </c>
      <c r="BG12" s="1">
        <f t="shared" si="3"/>
        <v>161923.50749999998</v>
      </c>
      <c r="BH12" s="1">
        <f t="shared" si="3"/>
        <v>170943</v>
      </c>
      <c r="BI12" s="1">
        <f t="shared" si="3"/>
        <v>180817.20749999999</v>
      </c>
      <c r="BJ12" s="1">
        <f t="shared" si="3"/>
        <v>191613.60749999998</v>
      </c>
    </row>
    <row r="13" spans="1:62" s="1" customFormat="1" x14ac:dyDescent="0.2">
      <c r="B13" s="1" t="s">
        <v>47</v>
      </c>
      <c r="C13" s="78">
        <v>285.68399999999997</v>
      </c>
      <c r="D13" s="78">
        <v>360.80799999999999</v>
      </c>
      <c r="E13" s="78">
        <v>472.16399999999993</v>
      </c>
      <c r="F13" s="78">
        <v>687.22500000000002</v>
      </c>
      <c r="G13" s="78">
        <v>9521.7569999999996</v>
      </c>
      <c r="H13" s="1">
        <f t="shared" ref="H13:AH13" si="4">(1-eCommerceMargin)*H6</f>
        <v>9793.3525200000004</v>
      </c>
      <c r="I13" s="1">
        <f t="shared" si="4"/>
        <v>10016.8140996</v>
      </c>
      <c r="J13" s="1">
        <f t="shared" si="4"/>
        <v>10245.296801376002</v>
      </c>
      <c r="K13" s="1">
        <f t="shared" si="4"/>
        <v>10507.621433762881</v>
      </c>
      <c r="L13" s="1">
        <f t="shared" si="4"/>
        <v>10747.057397581413</v>
      </c>
      <c r="M13" s="1">
        <f t="shared" si="4"/>
        <v>11021.736957225319</v>
      </c>
      <c r="N13" s="1">
        <f t="shared" si="4"/>
        <v>11272.638286332889</v>
      </c>
      <c r="O13" s="1">
        <f t="shared" si="4"/>
        <v>11560.242895584192</v>
      </c>
      <c r="P13" s="1">
        <f t="shared" si="4"/>
        <v>11854.842633891014</v>
      </c>
      <c r="Q13" s="1">
        <f t="shared" si="4"/>
        <v>12188.933653573396</v>
      </c>
      <c r="R13" s="1">
        <f t="shared" si="4"/>
        <v>12498.66836020797</v>
      </c>
      <c r="S13" s="1">
        <f t="shared" si="4"/>
        <v>12849.554458763676</v>
      </c>
      <c r="T13" s="1">
        <f t="shared" si="4"/>
        <v>13175.166205258003</v>
      </c>
      <c r="U13" s="1">
        <f t="shared" si="4"/>
        <v>13543.659135061311</v>
      </c>
      <c r="V13" s="1">
        <f t="shared" si="4"/>
        <v>13957.318181512024</v>
      </c>
      <c r="W13" s="1">
        <f t="shared" si="4"/>
        <v>14382.106126166736</v>
      </c>
      <c r="X13" s="1">
        <f t="shared" si="4"/>
        <v>14818.302661335036</v>
      </c>
      <c r="Y13" s="1">
        <f t="shared" si="4"/>
        <v>15266.1942154596</v>
      </c>
      <c r="Z13" s="1">
        <f t="shared" si="4"/>
        <v>15764.713113413563</v>
      </c>
      <c r="AA13" s="1">
        <f t="shared" si="4"/>
        <v>16277.066289599505</v>
      </c>
      <c r="AB13" s="1">
        <f t="shared" si="4"/>
        <v>16843.807726026724</v>
      </c>
      <c r="AC13" s="1">
        <f t="shared" si="4"/>
        <v>17467.712012203177</v>
      </c>
      <c r="AD13" s="1">
        <f t="shared" si="4"/>
        <v>18109.834946736282</v>
      </c>
      <c r="AE13" s="1">
        <f t="shared" si="4"/>
        <v>18813.316295013661</v>
      </c>
      <c r="AF13" s="1">
        <f t="shared" si="4"/>
        <v>19537.692963243437</v>
      </c>
      <c r="AG13" s="1">
        <f t="shared" si="4"/>
        <v>20372.287508978425</v>
      </c>
      <c r="AH13" s="1">
        <f t="shared" si="4"/>
        <v>21232.450759357514</v>
      </c>
      <c r="AI13" s="1">
        <f t="shared" ref="AI13:BJ13" si="5">(1-eCommerceMargin)*AI6</f>
        <v>22165.048809768527</v>
      </c>
      <c r="AJ13" s="1">
        <f t="shared" si="5"/>
        <v>23220.659259333755</v>
      </c>
      <c r="AK13" s="1">
        <f t="shared" si="5"/>
        <v>24309.628107357683</v>
      </c>
      <c r="AL13" s="1">
        <f t="shared" si="5"/>
        <v>25530.874641920986</v>
      </c>
      <c r="AM13" s="1">
        <f t="shared" si="5"/>
        <v>26891.214526872478</v>
      </c>
      <c r="AN13" s="1">
        <f t="shared" si="5"/>
        <v>28346.739000892045</v>
      </c>
      <c r="AO13" s="1">
        <f t="shared" si="5"/>
        <v>29953.733988856286</v>
      </c>
      <c r="AP13" s="1">
        <f t="shared" si="5"/>
        <v>31719.756221949276</v>
      </c>
      <c r="AQ13" s="1">
        <f t="shared" si="5"/>
        <v>33652.645714805178</v>
      </c>
      <c r="AR13" s="1">
        <f t="shared" si="5"/>
        <v>35815.720916859704</v>
      </c>
      <c r="AS13" s="1">
        <f t="shared" si="5"/>
        <v>38164.437530452225</v>
      </c>
      <c r="AT13" s="1">
        <f t="shared" si="5"/>
        <v>40822.438622174872</v>
      </c>
      <c r="AU13" s="1">
        <f t="shared" si="5"/>
        <v>43688.621654550356</v>
      </c>
      <c r="AV13" s="1">
        <f t="shared" si="5"/>
        <v>46892.063483644059</v>
      </c>
      <c r="AW13" s="1">
        <f t="shared" si="5"/>
        <v>50449.88679712922</v>
      </c>
      <c r="AX13" s="1">
        <f t="shared" si="5"/>
        <v>54379.859862847617</v>
      </c>
      <c r="AY13" s="1">
        <f t="shared" si="5"/>
        <v>58763.808793962213</v>
      </c>
      <c r="AZ13" s="1">
        <f t="shared" si="5"/>
        <v>63624.659773812295</v>
      </c>
      <c r="BA13" s="1">
        <f t="shared" si="5"/>
        <v>68986.201225483557</v>
      </c>
      <c r="BB13" s="1">
        <f t="shared" si="5"/>
        <v>75007.654544686855</v>
      </c>
      <c r="BC13" s="1">
        <f t="shared" si="5"/>
        <v>81722.68959101029</v>
      </c>
      <c r="BD13" s="1">
        <f t="shared" si="5"/>
        <v>89166.247413707853</v>
      </c>
      <c r="BE13" s="1">
        <f t="shared" si="5"/>
        <v>97517.359377132991</v>
      </c>
      <c r="BF13" s="1">
        <f t="shared" si="5"/>
        <v>106822.20024185884</v>
      </c>
      <c r="BG13" s="1">
        <f t="shared" si="5"/>
        <v>117202.95884204929</v>
      </c>
      <c r="BH13" s="1">
        <f t="shared" si="5"/>
        <v>128789.56313822146</v>
      </c>
      <c r="BI13" s="1">
        <f t="shared" si="5"/>
        <v>141720.03527729888</v>
      </c>
      <c r="BJ13" s="1">
        <f t="shared" si="5"/>
        <v>156219.67945365241</v>
      </c>
    </row>
    <row r="14" spans="1:62" s="7" customFormat="1" x14ac:dyDescent="0.2">
      <c r="A14" s="7" t="s">
        <v>49</v>
      </c>
      <c r="C14" s="89">
        <v>3080.2550000000001</v>
      </c>
      <c r="D14" s="89">
        <v>3245.5155</v>
      </c>
      <c r="E14" s="89">
        <v>3536.9149999999991</v>
      </c>
      <c r="F14" s="89">
        <v>3909.5089999999996</v>
      </c>
      <c r="G14" s="89">
        <v>16121.153999999999</v>
      </c>
      <c r="H14" s="20">
        <f t="shared" ref="H14:BJ14" si="6">SUM(H11:H13)</f>
        <v>19609.148307075076</v>
      </c>
      <c r="I14" s="20">
        <f t="shared" si="6"/>
        <v>22936.633719625075</v>
      </c>
      <c r="J14" s="20">
        <f t="shared" si="6"/>
        <v>26156.682045396075</v>
      </c>
      <c r="K14" s="20">
        <f t="shared" si="6"/>
        <v>29320.607063177453</v>
      </c>
      <c r="L14" s="20">
        <f t="shared" si="6"/>
        <v>32349.186273679938</v>
      </c>
      <c r="M14" s="20">
        <f t="shared" si="6"/>
        <v>35300.552427926188</v>
      </c>
      <c r="N14" s="20">
        <f t="shared" si="6"/>
        <v>38160.66932559634</v>
      </c>
      <c r="O14" s="20">
        <f t="shared" si="6"/>
        <v>40967.526831016483</v>
      </c>
      <c r="P14" s="20">
        <f t="shared" si="6"/>
        <v>43691.417468109023</v>
      </c>
      <c r="Q14" s="20">
        <f t="shared" si="6"/>
        <v>46364.838222455699</v>
      </c>
      <c r="R14" s="20">
        <f t="shared" si="6"/>
        <v>48946.434916220998</v>
      </c>
      <c r="S14" s="20">
        <f t="shared" si="6"/>
        <v>51479.22384512049</v>
      </c>
      <c r="T14" s="20">
        <f t="shared" si="6"/>
        <v>53941.765291742995</v>
      </c>
      <c r="U14" s="20">
        <f t="shared" si="6"/>
        <v>56379.723676437294</v>
      </c>
      <c r="V14" s="20">
        <f t="shared" si="6"/>
        <v>58817.877692018104</v>
      </c>
      <c r="W14" s="20">
        <f t="shared" si="6"/>
        <v>61222.191678715906</v>
      </c>
      <c r="X14" s="20">
        <f t="shared" si="6"/>
        <v>63592.946952631624</v>
      </c>
      <c r="Y14" s="20">
        <f t="shared" si="6"/>
        <v>65930.431728378331</v>
      </c>
      <c r="Z14" s="20">
        <f t="shared" si="6"/>
        <v>68296.072795616667</v>
      </c>
      <c r="AA14" s="20">
        <f t="shared" si="6"/>
        <v>70630.586832515401</v>
      </c>
      <c r="AB14" s="20">
        <f t="shared" si="6"/>
        <v>73019.515115976712</v>
      </c>
      <c r="AC14" s="20">
        <f t="shared" si="6"/>
        <v>75443.142515640648</v>
      </c>
      <c r="AD14" s="20">
        <f t="shared" si="6"/>
        <v>77885.020124260001</v>
      </c>
      <c r="AE14" s="20">
        <f t="shared" si="6"/>
        <v>80388.290954032243</v>
      </c>
      <c r="AF14" s="20">
        <f t="shared" si="6"/>
        <v>82912.49539190637</v>
      </c>
      <c r="AG14" s="20">
        <f t="shared" si="6"/>
        <v>85546.959824250152</v>
      </c>
      <c r="AH14" s="20">
        <f t="shared" si="6"/>
        <v>88229.531789898901</v>
      </c>
      <c r="AI14" s="20">
        <f t="shared" si="6"/>
        <v>91029.574599606553</v>
      </c>
      <c r="AJ14" s="20">
        <f t="shared" si="6"/>
        <v>93975.178531148049</v>
      </c>
      <c r="AK14" s="20">
        <f t="shared" si="6"/>
        <v>96999.187607095912</v>
      </c>
      <c r="AL14" s="20">
        <f t="shared" si="6"/>
        <v>100223.01986437553</v>
      </c>
      <c r="AM14" s="20">
        <f t="shared" si="6"/>
        <v>103653.49783231498</v>
      </c>
      <c r="AN14" s="20">
        <f t="shared" si="6"/>
        <v>107246.72021087128</v>
      </c>
      <c r="AO14" s="20">
        <f t="shared" si="6"/>
        <v>111103.96613232594</v>
      </c>
      <c r="AP14" s="20">
        <f t="shared" si="6"/>
        <v>115232.8015210084</v>
      </c>
      <c r="AQ14" s="20">
        <f t="shared" si="6"/>
        <v>119641.0763225127</v>
      </c>
      <c r="AR14" s="20">
        <f t="shared" si="6"/>
        <v>124437.10491033047</v>
      </c>
      <c r="AS14" s="20">
        <f t="shared" si="6"/>
        <v>129553.86266826256</v>
      </c>
      <c r="AT14" s="20">
        <f t="shared" si="6"/>
        <v>135159.99079850875</v>
      </c>
      <c r="AU14" s="20">
        <f t="shared" si="6"/>
        <v>141176.89396851009</v>
      </c>
      <c r="AV14" s="20">
        <f t="shared" si="6"/>
        <v>147778.65011074228</v>
      </c>
      <c r="AW14" s="20">
        <f t="shared" si="6"/>
        <v>154982.39967117971</v>
      </c>
      <c r="AX14" s="20">
        <f t="shared" si="6"/>
        <v>162828.4227702957</v>
      </c>
      <c r="AY14" s="20">
        <f t="shared" si="6"/>
        <v>171443.55189164757</v>
      </c>
      <c r="AZ14" s="20">
        <f t="shared" si="6"/>
        <v>180873.22930025868</v>
      </c>
      <c r="BA14" s="20">
        <f t="shared" si="6"/>
        <v>191163.76176006708</v>
      </c>
      <c r="BB14" s="20">
        <f t="shared" si="6"/>
        <v>202564.36908347125</v>
      </c>
      <c r="BC14" s="20">
        <f t="shared" si="6"/>
        <v>215108.75262766564</v>
      </c>
      <c r="BD14" s="20">
        <f t="shared" si="6"/>
        <v>228921.85772627121</v>
      </c>
      <c r="BE14" s="20">
        <f t="shared" si="6"/>
        <v>244182.75378644513</v>
      </c>
      <c r="BF14" s="20">
        <f t="shared" si="6"/>
        <v>261050.11955284473</v>
      </c>
      <c r="BG14" s="20">
        <f t="shared" si="6"/>
        <v>279691.17490462621</v>
      </c>
      <c r="BH14" s="20">
        <f t="shared" si="6"/>
        <v>300303.37566304859</v>
      </c>
      <c r="BI14" s="20">
        <f t="shared" si="6"/>
        <v>323114.76943785127</v>
      </c>
      <c r="BJ14" s="20">
        <f t="shared" si="6"/>
        <v>348418.19899025245</v>
      </c>
    </row>
    <row r="15" spans="1:62" x14ac:dyDescent="0.2">
      <c r="C15" s="77"/>
      <c r="D15" s="77"/>
      <c r="E15" s="77"/>
      <c r="F15" s="77"/>
      <c r="G15" s="7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1:62" s="7" customFormat="1" x14ac:dyDescent="0.2">
      <c r="A16" s="7" t="s">
        <v>50</v>
      </c>
      <c r="C16" s="92">
        <v>533.00874499999964</v>
      </c>
      <c r="D16" s="92">
        <v>695.87622400000009</v>
      </c>
      <c r="E16" s="92">
        <v>816.60477979999996</v>
      </c>
      <c r="F16" s="92">
        <v>1007.3489048000006</v>
      </c>
      <c r="G16" s="92">
        <v>6344.1420640000033</v>
      </c>
      <c r="H16" s="23">
        <f t="shared" ref="H16:BJ16" si="7">H8-H14</f>
        <v>8001.2102004817243</v>
      </c>
      <c r="I16" s="23">
        <f t="shared" si="7"/>
        <v>9591.2787211612595</v>
      </c>
      <c r="J16" s="23">
        <f t="shared" si="7"/>
        <v>11163.617466808973</v>
      </c>
      <c r="K16" s="23">
        <f t="shared" si="7"/>
        <v>12739.842372758681</v>
      </c>
      <c r="L16" s="23">
        <f t="shared" si="7"/>
        <v>14283.893715159407</v>
      </c>
      <c r="M16" s="23">
        <f t="shared" si="7"/>
        <v>15819.423904679519</v>
      </c>
      <c r="N16" s="23">
        <f t="shared" si="7"/>
        <v>17341.924972769382</v>
      </c>
      <c r="O16" s="23">
        <f t="shared" si="7"/>
        <v>18857.274107485777</v>
      </c>
      <c r="P16" s="23">
        <f t="shared" si="7"/>
        <v>20351.378002961035</v>
      </c>
      <c r="Q16" s="23">
        <f t="shared" si="7"/>
        <v>21842.162668543024</v>
      </c>
      <c r="R16" s="23">
        <f t="shared" si="7"/>
        <v>23312.440308281482</v>
      </c>
      <c r="S16" s="23">
        <f t="shared" si="7"/>
        <v>24767.581540178973</v>
      </c>
      <c r="T16" s="23">
        <f t="shared" si="7"/>
        <v>26210.853141519678</v>
      </c>
      <c r="U16" s="23">
        <f t="shared" si="7"/>
        <v>27659.072653123541</v>
      </c>
      <c r="V16" s="23">
        <f t="shared" si="7"/>
        <v>29124.139700762949</v>
      </c>
      <c r="W16" s="23">
        <f t="shared" si="7"/>
        <v>30590.852762520146</v>
      </c>
      <c r="X16" s="23">
        <f t="shared" si="7"/>
        <v>31817.375572009376</v>
      </c>
      <c r="Y16" s="23">
        <f t="shared" si="7"/>
        <v>33025.676416307295</v>
      </c>
      <c r="Z16" s="23">
        <f t="shared" si="7"/>
        <v>34244.51300773512</v>
      </c>
      <c r="AA16" s="23">
        <f t="shared" si="7"/>
        <v>35446.208172114289</v>
      </c>
      <c r="AB16" s="23">
        <f t="shared" si="7"/>
        <v>36672.223458780369</v>
      </c>
      <c r="AC16" s="23">
        <f t="shared" si="7"/>
        <v>37911.860124662271</v>
      </c>
      <c r="AD16" s="23">
        <f t="shared" si="7"/>
        <v>39160.532489988356</v>
      </c>
      <c r="AE16" s="23">
        <f t="shared" si="7"/>
        <v>40436.855326543184</v>
      </c>
      <c r="AF16" s="23">
        <f t="shared" si="7"/>
        <v>41723.622709235482</v>
      </c>
      <c r="AG16" s="23">
        <f t="shared" si="7"/>
        <v>43059.264675060826</v>
      </c>
      <c r="AH16" s="23">
        <f t="shared" si="7"/>
        <v>44419.662842070422</v>
      </c>
      <c r="AI16" s="23">
        <f t="shared" si="7"/>
        <v>45837.082107456939</v>
      </c>
      <c r="AJ16" s="23">
        <f t="shared" si="7"/>
        <v>47321.404034719933</v>
      </c>
      <c r="AK16" s="23">
        <f t="shared" si="7"/>
        <v>48846.416335827947</v>
      </c>
      <c r="AL16" s="23">
        <f t="shared" si="7"/>
        <v>50466.752071448369</v>
      </c>
      <c r="AM16" s="23">
        <f t="shared" si="7"/>
        <v>52185.599307515891</v>
      </c>
      <c r="AN16" s="23">
        <f t="shared" si="7"/>
        <v>53984.430247146433</v>
      </c>
      <c r="AO16" s="23">
        <f t="shared" si="7"/>
        <v>55911.678697622643</v>
      </c>
      <c r="AP16" s="23">
        <f t="shared" si="7"/>
        <v>57970.940871378145</v>
      </c>
      <c r="AQ16" s="23">
        <f t="shared" si="7"/>
        <v>60165.963089025056</v>
      </c>
      <c r="AR16" s="23">
        <f t="shared" si="7"/>
        <v>62548.29877466723</v>
      </c>
      <c r="AS16" s="23">
        <f t="shared" si="7"/>
        <v>65087.335373873299</v>
      </c>
      <c r="AT16" s="23">
        <f t="shared" si="7"/>
        <v>67860.565747462475</v>
      </c>
      <c r="AU16" s="23">
        <f t="shared" si="7"/>
        <v>70837.228257841547</v>
      </c>
      <c r="AV16" s="23">
        <f t="shared" si="7"/>
        <v>74097.258929968084</v>
      </c>
      <c r="AW16" s="23">
        <f t="shared" si="7"/>
        <v>77648.686856478191</v>
      </c>
      <c r="AX16" s="23">
        <f t="shared" si="7"/>
        <v>81511.875826664851</v>
      </c>
      <c r="AY16" s="23">
        <f t="shared" si="7"/>
        <v>85746.717483087821</v>
      </c>
      <c r="AZ16" s="23">
        <f t="shared" si="7"/>
        <v>90375.950660399103</v>
      </c>
      <c r="BA16" s="23">
        <f t="shared" si="7"/>
        <v>95422.771606221271</v>
      </c>
      <c r="BB16" s="23">
        <f t="shared" si="7"/>
        <v>101004.50747072126</v>
      </c>
      <c r="BC16" s="23">
        <f t="shared" si="7"/>
        <v>107136.8134506105</v>
      </c>
      <c r="BD16" s="23">
        <f t="shared" si="7"/>
        <v>113883.98194316024</v>
      </c>
      <c r="BE16" s="23">
        <f t="shared" si="7"/>
        <v>121324.22054101463</v>
      </c>
      <c r="BF16" s="23">
        <f t="shared" si="7"/>
        <v>129538.91215814732</v>
      </c>
      <c r="BG16" s="23">
        <f t="shared" si="7"/>
        <v>138606.2065879791</v>
      </c>
      <c r="BH16" s="23">
        <f t="shared" si="7"/>
        <v>148619.73427501379</v>
      </c>
      <c r="BI16" s="23">
        <f t="shared" si="7"/>
        <v>159688.78907147178</v>
      </c>
      <c r="BJ16" s="23">
        <f t="shared" si="7"/>
        <v>171948.29341816565</v>
      </c>
    </row>
    <row r="17" spans="1:62" x14ac:dyDescent="0.2">
      <c r="C17" s="79"/>
      <c r="D17" s="79"/>
      <c r="E17" s="79"/>
      <c r="F17" s="79"/>
      <c r="G17" s="79"/>
    </row>
    <row r="18" spans="1:62" x14ac:dyDescent="0.2">
      <c r="A18" t="s">
        <v>145</v>
      </c>
      <c r="C18" s="79"/>
      <c r="D18" s="79"/>
      <c r="E18" s="79"/>
      <c r="F18" s="79"/>
      <c r="G18" s="79"/>
    </row>
    <row r="19" spans="1:62" s="1" customFormat="1" x14ac:dyDescent="0.2">
      <c r="B19" s="1" t="s">
        <v>51</v>
      </c>
      <c r="C19" s="78">
        <v>200</v>
      </c>
      <c r="D19" s="78">
        <v>250</v>
      </c>
      <c r="E19" s="78">
        <v>376</v>
      </c>
      <c r="F19" s="78">
        <v>457</v>
      </c>
      <c r="G19" s="78">
        <v>9923</v>
      </c>
      <c r="H19" s="1">
        <f>'Traffic Detail'!H3</f>
        <v>10000</v>
      </c>
      <c r="I19" s="1">
        <f>'Traffic Detail'!I3</f>
        <v>10000</v>
      </c>
      <c r="J19" s="1">
        <f>'Traffic Detail'!J3</f>
        <v>10000</v>
      </c>
      <c r="K19" s="1">
        <f>'Traffic Detail'!K3</f>
        <v>10000</v>
      </c>
      <c r="L19" s="1">
        <f>'Traffic Detail'!L3</f>
        <v>10000</v>
      </c>
      <c r="M19" s="1">
        <f>'Traffic Detail'!M3</f>
        <v>10000</v>
      </c>
      <c r="N19" s="1">
        <f>'Traffic Detail'!N3</f>
        <v>10000</v>
      </c>
      <c r="O19" s="1">
        <f>'Traffic Detail'!O3</f>
        <v>10000</v>
      </c>
      <c r="P19" s="1">
        <f>'Traffic Detail'!P3</f>
        <v>10000</v>
      </c>
      <c r="Q19" s="1">
        <f>'Traffic Detail'!Q3</f>
        <v>10000</v>
      </c>
      <c r="R19" s="1">
        <f>'Traffic Detail'!R3</f>
        <v>10000</v>
      </c>
      <c r="S19" s="1">
        <f>'Traffic Detail'!S3</f>
        <v>10000</v>
      </c>
      <c r="T19" s="1">
        <f>'Traffic Detail'!T3</f>
        <v>10000</v>
      </c>
      <c r="U19" s="1">
        <f>'Traffic Detail'!U3</f>
        <v>10000</v>
      </c>
      <c r="V19" s="1">
        <f>'Traffic Detail'!V3</f>
        <v>10000</v>
      </c>
      <c r="W19" s="1">
        <f>'Traffic Detail'!W3</f>
        <v>10000</v>
      </c>
      <c r="X19" s="1">
        <f>'Traffic Detail'!X3</f>
        <v>10000</v>
      </c>
      <c r="Y19" s="1">
        <f>'Traffic Detail'!Y3</f>
        <v>10000</v>
      </c>
      <c r="Z19" s="1">
        <f>'Traffic Detail'!Z3</f>
        <v>10000</v>
      </c>
      <c r="AA19" s="1">
        <f>'Traffic Detail'!AA3</f>
        <v>10000</v>
      </c>
      <c r="AB19" s="1">
        <f>'Traffic Detail'!AB3</f>
        <v>10000</v>
      </c>
      <c r="AC19" s="1">
        <f>'Traffic Detail'!AC3</f>
        <v>10000</v>
      </c>
      <c r="AD19" s="1">
        <f>'Traffic Detail'!AD3</f>
        <v>10000</v>
      </c>
      <c r="AE19" s="1">
        <f>'Traffic Detail'!AE3</f>
        <v>10000</v>
      </c>
      <c r="AF19" s="1">
        <f>'Traffic Detail'!AF3</f>
        <v>10000</v>
      </c>
      <c r="AG19" s="1">
        <f>'Traffic Detail'!AG3</f>
        <v>10000</v>
      </c>
      <c r="AH19" s="1">
        <f>'Traffic Detail'!AH3</f>
        <v>10000</v>
      </c>
      <c r="AI19" s="1">
        <f>'Traffic Detail'!AI3</f>
        <v>10000</v>
      </c>
      <c r="AJ19" s="1">
        <f>'Traffic Detail'!AJ3</f>
        <v>10000</v>
      </c>
      <c r="AK19" s="1">
        <f>'Traffic Detail'!AK3</f>
        <v>10000</v>
      </c>
      <c r="AL19" s="1">
        <f>'Traffic Detail'!AL3</f>
        <v>10000</v>
      </c>
      <c r="AM19" s="1">
        <f>'Traffic Detail'!AM3</f>
        <v>10000</v>
      </c>
      <c r="AN19" s="1">
        <f>'Traffic Detail'!AN3</f>
        <v>10000</v>
      </c>
      <c r="AO19" s="1">
        <f>'Traffic Detail'!AO3</f>
        <v>10000</v>
      </c>
      <c r="AP19" s="1">
        <f>'Traffic Detail'!AP3</f>
        <v>10000</v>
      </c>
      <c r="AQ19" s="1">
        <f>'Traffic Detail'!AQ3</f>
        <v>10000</v>
      </c>
      <c r="AR19" s="1">
        <f>'Traffic Detail'!AR3</f>
        <v>10000</v>
      </c>
      <c r="AS19" s="1">
        <f>'Traffic Detail'!AS3</f>
        <v>10000</v>
      </c>
      <c r="AT19" s="1">
        <f>'Traffic Detail'!AT3</f>
        <v>10000</v>
      </c>
      <c r="AU19" s="1">
        <f>'Traffic Detail'!AU3</f>
        <v>10000</v>
      </c>
      <c r="AV19" s="1">
        <f>'Traffic Detail'!AV3</f>
        <v>10000</v>
      </c>
      <c r="AW19" s="1">
        <f>'Traffic Detail'!AW3</f>
        <v>10000</v>
      </c>
      <c r="AX19" s="1">
        <f>'Traffic Detail'!AX3</f>
        <v>10000</v>
      </c>
      <c r="AY19" s="1">
        <f>'Traffic Detail'!AY3</f>
        <v>10000</v>
      </c>
      <c r="AZ19" s="1">
        <f>'Traffic Detail'!AZ3</f>
        <v>10000</v>
      </c>
      <c r="BA19" s="1">
        <f>'Traffic Detail'!BA3</f>
        <v>10000</v>
      </c>
      <c r="BB19" s="1">
        <f>'Traffic Detail'!BB3</f>
        <v>10000</v>
      </c>
      <c r="BC19" s="1">
        <f>'Traffic Detail'!BC3</f>
        <v>10000</v>
      </c>
      <c r="BD19" s="1">
        <f>'Traffic Detail'!BD3</f>
        <v>10000</v>
      </c>
      <c r="BE19" s="1">
        <f>'Traffic Detail'!BE3</f>
        <v>10000</v>
      </c>
      <c r="BF19" s="1">
        <f>'Traffic Detail'!BF3</f>
        <v>10000</v>
      </c>
      <c r="BG19" s="1">
        <f>'Traffic Detail'!BG3</f>
        <v>10000</v>
      </c>
      <c r="BH19" s="1">
        <f>'Traffic Detail'!BH3</f>
        <v>10000</v>
      </c>
      <c r="BI19" s="1">
        <f>'Traffic Detail'!BI3</f>
        <v>10000</v>
      </c>
      <c r="BJ19" s="1">
        <f>'Traffic Detail'!BJ3</f>
        <v>10000</v>
      </c>
    </row>
    <row r="20" spans="1:62" s="1" customFormat="1" x14ac:dyDescent="0.2">
      <c r="B20" s="1" t="s">
        <v>52</v>
      </c>
      <c r="C20" s="78">
        <v>200</v>
      </c>
      <c r="D20" s="78">
        <v>250</v>
      </c>
      <c r="E20" s="78">
        <v>434</v>
      </c>
      <c r="F20" s="78">
        <v>452</v>
      </c>
      <c r="G20" s="78">
        <v>10163</v>
      </c>
      <c r="H20" s="1">
        <f>'Traffic Detail'!H6</f>
        <v>10000</v>
      </c>
      <c r="I20" s="1">
        <f>'Traffic Detail'!I6</f>
        <v>10000</v>
      </c>
      <c r="J20" s="1">
        <f>'Traffic Detail'!J6</f>
        <v>10000</v>
      </c>
      <c r="K20" s="1">
        <f>'Traffic Detail'!K6</f>
        <v>10000</v>
      </c>
      <c r="L20" s="1">
        <f>'Traffic Detail'!L6</f>
        <v>10000</v>
      </c>
      <c r="M20" s="1">
        <f>'Traffic Detail'!M6</f>
        <v>10000</v>
      </c>
      <c r="N20" s="1">
        <f>'Traffic Detail'!N6</f>
        <v>10000</v>
      </c>
      <c r="O20" s="1">
        <f>'Traffic Detail'!O6</f>
        <v>10000</v>
      </c>
      <c r="P20" s="1">
        <f>'Traffic Detail'!P6</f>
        <v>10000</v>
      </c>
      <c r="Q20" s="1">
        <f>'Traffic Detail'!Q6</f>
        <v>10000</v>
      </c>
      <c r="R20" s="1">
        <f>'Traffic Detail'!R6</f>
        <v>10000</v>
      </c>
      <c r="S20" s="1">
        <f>'Traffic Detail'!S6</f>
        <v>10000</v>
      </c>
      <c r="T20" s="1">
        <f>'Traffic Detail'!T6</f>
        <v>10000</v>
      </c>
      <c r="U20" s="1">
        <f>'Traffic Detail'!U6</f>
        <v>10000</v>
      </c>
      <c r="V20" s="1">
        <f>'Traffic Detail'!V6</f>
        <v>10000</v>
      </c>
      <c r="W20" s="1">
        <f>'Traffic Detail'!W6</f>
        <v>10000</v>
      </c>
      <c r="X20" s="1">
        <f>'Traffic Detail'!X6</f>
        <v>10000</v>
      </c>
      <c r="Y20" s="1">
        <f>'Traffic Detail'!Y6</f>
        <v>10000</v>
      </c>
      <c r="Z20" s="1">
        <f>'Traffic Detail'!Z6</f>
        <v>10000</v>
      </c>
      <c r="AA20" s="1">
        <f>'Traffic Detail'!AA6</f>
        <v>10000</v>
      </c>
      <c r="AB20" s="1">
        <f>'Traffic Detail'!AB6</f>
        <v>10000</v>
      </c>
      <c r="AC20" s="1">
        <f>'Traffic Detail'!AC6</f>
        <v>10000</v>
      </c>
      <c r="AD20" s="1">
        <f>'Traffic Detail'!AD6</f>
        <v>10000</v>
      </c>
      <c r="AE20" s="1">
        <f>'Traffic Detail'!AE6</f>
        <v>10000</v>
      </c>
      <c r="AF20" s="1">
        <f>'Traffic Detail'!AF6</f>
        <v>10000</v>
      </c>
      <c r="AG20" s="1">
        <f>'Traffic Detail'!AG6</f>
        <v>10000</v>
      </c>
      <c r="AH20" s="1">
        <f>'Traffic Detail'!AH6</f>
        <v>10000</v>
      </c>
      <c r="AI20" s="1">
        <f>'Traffic Detail'!AI6</f>
        <v>10000</v>
      </c>
      <c r="AJ20" s="1">
        <f>'Traffic Detail'!AJ6</f>
        <v>10000</v>
      </c>
      <c r="AK20" s="1">
        <f>'Traffic Detail'!AK6</f>
        <v>10000</v>
      </c>
      <c r="AL20" s="1">
        <f>'Traffic Detail'!AL6</f>
        <v>10000</v>
      </c>
      <c r="AM20" s="1">
        <f>'Traffic Detail'!AM6</f>
        <v>10000</v>
      </c>
      <c r="AN20" s="1">
        <f>'Traffic Detail'!AN6</f>
        <v>10000</v>
      </c>
      <c r="AO20" s="1">
        <f>'Traffic Detail'!AO6</f>
        <v>10000</v>
      </c>
      <c r="AP20" s="1">
        <f>'Traffic Detail'!AP6</f>
        <v>10000</v>
      </c>
      <c r="AQ20" s="1">
        <f>'Traffic Detail'!AQ6</f>
        <v>10000</v>
      </c>
      <c r="AR20" s="1">
        <f>'Traffic Detail'!AR6</f>
        <v>10000</v>
      </c>
      <c r="AS20" s="1">
        <f>'Traffic Detail'!AS6</f>
        <v>10000</v>
      </c>
      <c r="AT20" s="1">
        <f>'Traffic Detail'!AT6</f>
        <v>10000</v>
      </c>
      <c r="AU20" s="1">
        <f>'Traffic Detail'!AU6</f>
        <v>10000</v>
      </c>
      <c r="AV20" s="1">
        <f>'Traffic Detail'!AV6</f>
        <v>10000</v>
      </c>
      <c r="AW20" s="1">
        <f>'Traffic Detail'!AW6</f>
        <v>10000</v>
      </c>
      <c r="AX20" s="1">
        <f>'Traffic Detail'!AX6</f>
        <v>10000</v>
      </c>
      <c r="AY20" s="1">
        <f>'Traffic Detail'!AY6</f>
        <v>10000</v>
      </c>
      <c r="AZ20" s="1">
        <f>'Traffic Detail'!AZ6</f>
        <v>10000</v>
      </c>
      <c r="BA20" s="1">
        <f>'Traffic Detail'!BA6</f>
        <v>10000</v>
      </c>
      <c r="BB20" s="1">
        <f>'Traffic Detail'!BB6</f>
        <v>10000</v>
      </c>
      <c r="BC20" s="1">
        <f>'Traffic Detail'!BC6</f>
        <v>10000</v>
      </c>
      <c r="BD20" s="1">
        <f>'Traffic Detail'!BD6</f>
        <v>10000</v>
      </c>
      <c r="BE20" s="1">
        <f>'Traffic Detail'!BE6</f>
        <v>10000</v>
      </c>
      <c r="BF20" s="1">
        <f>'Traffic Detail'!BF6</f>
        <v>10000</v>
      </c>
      <c r="BG20" s="1">
        <f>'Traffic Detail'!BG6</f>
        <v>10000</v>
      </c>
      <c r="BH20" s="1">
        <f>'Traffic Detail'!BH6</f>
        <v>10000</v>
      </c>
      <c r="BI20" s="1">
        <f>'Traffic Detail'!BI6</f>
        <v>10000</v>
      </c>
      <c r="BJ20" s="1">
        <f>'Traffic Detail'!BJ6</f>
        <v>10000</v>
      </c>
    </row>
    <row r="21" spans="1:62" s="20" customFormat="1" x14ac:dyDescent="0.2">
      <c r="A21" s="20" t="s">
        <v>146</v>
      </c>
      <c r="C21" s="89">
        <v>400</v>
      </c>
      <c r="D21" s="89">
        <v>500</v>
      </c>
      <c r="E21" s="89">
        <v>810</v>
      </c>
      <c r="F21" s="89">
        <v>909</v>
      </c>
      <c r="G21" s="89">
        <v>20086</v>
      </c>
      <c r="H21" s="20">
        <f t="shared" ref="H21:BJ21" si="8">SUM(H19:H20)</f>
        <v>20000</v>
      </c>
      <c r="I21" s="20">
        <f t="shared" si="8"/>
        <v>20000</v>
      </c>
      <c r="J21" s="20">
        <f t="shared" si="8"/>
        <v>20000</v>
      </c>
      <c r="K21" s="20">
        <f t="shared" si="8"/>
        <v>20000</v>
      </c>
      <c r="L21" s="20">
        <f t="shared" si="8"/>
        <v>20000</v>
      </c>
      <c r="M21" s="20">
        <f t="shared" si="8"/>
        <v>20000</v>
      </c>
      <c r="N21" s="20">
        <f t="shared" si="8"/>
        <v>20000</v>
      </c>
      <c r="O21" s="20">
        <f t="shared" si="8"/>
        <v>20000</v>
      </c>
      <c r="P21" s="20">
        <f t="shared" si="8"/>
        <v>20000</v>
      </c>
      <c r="Q21" s="20">
        <f t="shared" si="8"/>
        <v>20000</v>
      </c>
      <c r="R21" s="20">
        <f t="shared" si="8"/>
        <v>20000</v>
      </c>
      <c r="S21" s="20">
        <f t="shared" si="8"/>
        <v>20000</v>
      </c>
      <c r="T21" s="20">
        <f t="shared" si="8"/>
        <v>20000</v>
      </c>
      <c r="U21" s="20">
        <f t="shared" si="8"/>
        <v>20000</v>
      </c>
      <c r="V21" s="20">
        <f t="shared" si="8"/>
        <v>20000</v>
      </c>
      <c r="W21" s="20">
        <f t="shared" si="8"/>
        <v>20000</v>
      </c>
      <c r="X21" s="20">
        <f t="shared" si="8"/>
        <v>20000</v>
      </c>
      <c r="Y21" s="20">
        <f t="shared" si="8"/>
        <v>20000</v>
      </c>
      <c r="Z21" s="20">
        <f t="shared" si="8"/>
        <v>20000</v>
      </c>
      <c r="AA21" s="20">
        <f t="shared" si="8"/>
        <v>20000</v>
      </c>
      <c r="AB21" s="20">
        <f t="shared" si="8"/>
        <v>20000</v>
      </c>
      <c r="AC21" s="20">
        <f t="shared" si="8"/>
        <v>20000</v>
      </c>
      <c r="AD21" s="20">
        <f t="shared" si="8"/>
        <v>20000</v>
      </c>
      <c r="AE21" s="20">
        <f t="shared" si="8"/>
        <v>20000</v>
      </c>
      <c r="AF21" s="20">
        <f t="shared" si="8"/>
        <v>20000</v>
      </c>
      <c r="AG21" s="20">
        <f t="shared" si="8"/>
        <v>20000</v>
      </c>
      <c r="AH21" s="20">
        <f t="shared" si="8"/>
        <v>20000</v>
      </c>
      <c r="AI21" s="20">
        <f t="shared" si="8"/>
        <v>20000</v>
      </c>
      <c r="AJ21" s="20">
        <f t="shared" si="8"/>
        <v>20000</v>
      </c>
      <c r="AK21" s="20">
        <f t="shared" si="8"/>
        <v>20000</v>
      </c>
      <c r="AL21" s="20">
        <f t="shared" si="8"/>
        <v>20000</v>
      </c>
      <c r="AM21" s="20">
        <f t="shared" si="8"/>
        <v>20000</v>
      </c>
      <c r="AN21" s="20">
        <f t="shared" si="8"/>
        <v>20000</v>
      </c>
      <c r="AO21" s="20">
        <f t="shared" si="8"/>
        <v>20000</v>
      </c>
      <c r="AP21" s="20">
        <f t="shared" si="8"/>
        <v>20000</v>
      </c>
      <c r="AQ21" s="20">
        <f t="shared" si="8"/>
        <v>20000</v>
      </c>
      <c r="AR21" s="20">
        <f t="shared" si="8"/>
        <v>20000</v>
      </c>
      <c r="AS21" s="20">
        <f t="shared" si="8"/>
        <v>20000</v>
      </c>
      <c r="AT21" s="20">
        <f t="shared" si="8"/>
        <v>20000</v>
      </c>
      <c r="AU21" s="20">
        <f t="shared" si="8"/>
        <v>20000</v>
      </c>
      <c r="AV21" s="20">
        <f t="shared" si="8"/>
        <v>20000</v>
      </c>
      <c r="AW21" s="20">
        <f t="shared" si="8"/>
        <v>20000</v>
      </c>
      <c r="AX21" s="20">
        <f t="shared" si="8"/>
        <v>20000</v>
      </c>
      <c r="AY21" s="20">
        <f t="shared" si="8"/>
        <v>20000</v>
      </c>
      <c r="AZ21" s="20">
        <f t="shared" si="8"/>
        <v>20000</v>
      </c>
      <c r="BA21" s="20">
        <f t="shared" si="8"/>
        <v>20000</v>
      </c>
      <c r="BB21" s="20">
        <f t="shared" si="8"/>
        <v>20000</v>
      </c>
      <c r="BC21" s="20">
        <f t="shared" si="8"/>
        <v>20000</v>
      </c>
      <c r="BD21" s="20">
        <f t="shared" si="8"/>
        <v>20000</v>
      </c>
      <c r="BE21" s="20">
        <f t="shared" si="8"/>
        <v>20000</v>
      </c>
      <c r="BF21" s="20">
        <f t="shared" si="8"/>
        <v>20000</v>
      </c>
      <c r="BG21" s="20">
        <f t="shared" si="8"/>
        <v>20000</v>
      </c>
      <c r="BH21" s="20">
        <f t="shared" si="8"/>
        <v>20000</v>
      </c>
      <c r="BI21" s="20">
        <f t="shared" si="8"/>
        <v>20000</v>
      </c>
      <c r="BJ21" s="20">
        <f t="shared" si="8"/>
        <v>20000</v>
      </c>
    </row>
    <row r="22" spans="1:62" x14ac:dyDescent="0.2">
      <c r="C22" s="79"/>
      <c r="D22" s="79"/>
      <c r="E22" s="79"/>
      <c r="F22" s="79"/>
      <c r="G22" s="79"/>
    </row>
    <row r="23" spans="1:62" s="7" customFormat="1" x14ac:dyDescent="0.2">
      <c r="A23" s="7" t="s">
        <v>181</v>
      </c>
      <c r="C23" s="92">
        <v>133.00874499999964</v>
      </c>
      <c r="D23" s="92">
        <v>195.87622400000009</v>
      </c>
      <c r="E23" s="92">
        <v>6.6047797999999602</v>
      </c>
      <c r="F23" s="92">
        <v>98.348904800000582</v>
      </c>
      <c r="G23" s="92">
        <v>-13741.857935999997</v>
      </c>
      <c r="H23" s="23">
        <f t="shared" ref="H23:BJ23" si="9">H16-H21</f>
        <v>-11998.789799518276</v>
      </c>
      <c r="I23" s="23">
        <f t="shared" si="9"/>
        <v>-10408.721278838741</v>
      </c>
      <c r="J23" s="23">
        <f t="shared" si="9"/>
        <v>-8836.3825331910266</v>
      </c>
      <c r="K23" s="23">
        <f t="shared" si="9"/>
        <v>-7260.1576272413186</v>
      </c>
      <c r="L23" s="23">
        <f t="shared" si="9"/>
        <v>-5716.1062848405927</v>
      </c>
      <c r="M23" s="23">
        <f t="shared" si="9"/>
        <v>-4180.5760953204808</v>
      </c>
      <c r="N23" s="23">
        <f t="shared" si="9"/>
        <v>-2658.0750272306177</v>
      </c>
      <c r="O23" s="23">
        <f t="shared" si="9"/>
        <v>-1142.7258925142232</v>
      </c>
      <c r="P23" s="23">
        <f t="shared" si="9"/>
        <v>351.37800296103524</v>
      </c>
      <c r="Q23" s="23">
        <f t="shared" si="9"/>
        <v>1842.1626685430238</v>
      </c>
      <c r="R23" s="23">
        <f t="shared" si="9"/>
        <v>3312.4403082814824</v>
      </c>
      <c r="S23" s="23">
        <f t="shared" si="9"/>
        <v>4767.5815401789732</v>
      </c>
      <c r="T23" s="23">
        <f t="shared" si="9"/>
        <v>6210.8531415196776</v>
      </c>
      <c r="U23" s="23">
        <f t="shared" si="9"/>
        <v>7659.0726531235414</v>
      </c>
      <c r="V23" s="23">
        <f t="shared" si="9"/>
        <v>9124.1397007629494</v>
      </c>
      <c r="W23" s="23">
        <f t="shared" si="9"/>
        <v>10590.852762520146</v>
      </c>
      <c r="X23" s="23">
        <f t="shared" si="9"/>
        <v>11817.375572009376</v>
      </c>
      <c r="Y23" s="23">
        <f t="shared" si="9"/>
        <v>13025.676416307295</v>
      </c>
      <c r="Z23" s="23">
        <f t="shared" si="9"/>
        <v>14244.51300773512</v>
      </c>
      <c r="AA23" s="23">
        <f t="shared" si="9"/>
        <v>15446.208172114289</v>
      </c>
      <c r="AB23" s="23">
        <f t="shared" si="9"/>
        <v>16672.223458780369</v>
      </c>
      <c r="AC23" s="23">
        <f t="shared" si="9"/>
        <v>17911.860124662271</v>
      </c>
      <c r="AD23" s="23">
        <f t="shared" si="9"/>
        <v>19160.532489988356</v>
      </c>
      <c r="AE23" s="23">
        <f t="shared" si="9"/>
        <v>20436.855326543184</v>
      </c>
      <c r="AF23" s="23">
        <f t="shared" si="9"/>
        <v>21723.622709235482</v>
      </c>
      <c r="AG23" s="23">
        <f t="shared" si="9"/>
        <v>23059.264675060826</v>
      </c>
      <c r="AH23" s="23">
        <f t="shared" si="9"/>
        <v>24419.662842070422</v>
      </c>
      <c r="AI23" s="23">
        <f t="shared" si="9"/>
        <v>25837.082107456939</v>
      </c>
      <c r="AJ23" s="23">
        <f t="shared" si="9"/>
        <v>27321.404034719933</v>
      </c>
      <c r="AK23" s="23">
        <f t="shared" si="9"/>
        <v>28846.416335827947</v>
      </c>
      <c r="AL23" s="23">
        <f t="shared" si="9"/>
        <v>30466.752071448369</v>
      </c>
      <c r="AM23" s="23">
        <f t="shared" si="9"/>
        <v>32185.599307515891</v>
      </c>
      <c r="AN23" s="23">
        <f t="shared" si="9"/>
        <v>33984.430247146433</v>
      </c>
      <c r="AO23" s="23">
        <f t="shared" si="9"/>
        <v>35911.678697622643</v>
      </c>
      <c r="AP23" s="23">
        <f t="shared" si="9"/>
        <v>37970.940871378145</v>
      </c>
      <c r="AQ23" s="23">
        <f t="shared" si="9"/>
        <v>40165.963089025056</v>
      </c>
      <c r="AR23" s="23">
        <f t="shared" si="9"/>
        <v>42548.29877466723</v>
      </c>
      <c r="AS23" s="23">
        <f t="shared" si="9"/>
        <v>45087.335373873299</v>
      </c>
      <c r="AT23" s="23">
        <f t="shared" si="9"/>
        <v>47860.565747462475</v>
      </c>
      <c r="AU23" s="23">
        <f t="shared" si="9"/>
        <v>50837.228257841547</v>
      </c>
      <c r="AV23" s="23">
        <f t="shared" si="9"/>
        <v>54097.258929968084</v>
      </c>
      <c r="AW23" s="23">
        <f t="shared" si="9"/>
        <v>57648.686856478191</v>
      </c>
      <c r="AX23" s="23">
        <f t="shared" si="9"/>
        <v>61511.875826664851</v>
      </c>
      <c r="AY23" s="23">
        <f t="shared" si="9"/>
        <v>65746.717483087821</v>
      </c>
      <c r="AZ23" s="23">
        <f t="shared" si="9"/>
        <v>70375.950660399103</v>
      </c>
      <c r="BA23" s="23">
        <f t="shared" si="9"/>
        <v>75422.771606221271</v>
      </c>
      <c r="BB23" s="23">
        <f t="shared" si="9"/>
        <v>81004.507470721263</v>
      </c>
      <c r="BC23" s="23">
        <f t="shared" si="9"/>
        <v>87136.813450610498</v>
      </c>
      <c r="BD23" s="23">
        <f t="shared" si="9"/>
        <v>93883.981943160237</v>
      </c>
      <c r="BE23" s="23">
        <f t="shared" si="9"/>
        <v>101324.22054101463</v>
      </c>
      <c r="BF23" s="23">
        <f t="shared" si="9"/>
        <v>109538.91215814732</v>
      </c>
      <c r="BG23" s="23">
        <f t="shared" si="9"/>
        <v>118606.2065879791</v>
      </c>
      <c r="BH23" s="23">
        <f t="shared" si="9"/>
        <v>128619.73427501379</v>
      </c>
      <c r="BI23" s="23">
        <f t="shared" si="9"/>
        <v>139688.78907147178</v>
      </c>
      <c r="BJ23" s="23">
        <f t="shared" si="9"/>
        <v>151948.29341816565</v>
      </c>
    </row>
    <row r="24" spans="1:62" x14ac:dyDescent="0.2">
      <c r="C24" s="79"/>
      <c r="D24" s="79"/>
      <c r="E24" s="79"/>
      <c r="F24" s="79"/>
      <c r="G24" s="79"/>
    </row>
    <row r="25" spans="1:62" x14ac:dyDescent="0.2">
      <c r="A25" t="s">
        <v>53</v>
      </c>
      <c r="C25" s="79"/>
      <c r="D25" s="79"/>
      <c r="E25" s="79"/>
      <c r="F25" s="79"/>
      <c r="G25" s="79"/>
    </row>
    <row r="26" spans="1:62" x14ac:dyDescent="0.2">
      <c r="B26" t="s">
        <v>54</v>
      </c>
      <c r="C26" s="78">
        <v>35416.666666666672</v>
      </c>
      <c r="D26" s="78">
        <v>35416.666666666672</v>
      </c>
      <c r="E26" s="78">
        <v>51041.666666666672</v>
      </c>
      <c r="F26" s="78">
        <v>61458.333333333343</v>
      </c>
      <c r="G26" s="78">
        <v>61458.333333333343</v>
      </c>
      <c r="H26" s="1">
        <f>Employees!H30</f>
        <v>61458.333333333343</v>
      </c>
      <c r="I26" s="1">
        <f>Employees!I30</f>
        <v>61458.333333333343</v>
      </c>
      <c r="J26" s="1">
        <f>Employees!J30</f>
        <v>61458.333333333343</v>
      </c>
      <c r="K26" s="1">
        <f>Employees!K30</f>
        <v>61458.333333333343</v>
      </c>
      <c r="L26" s="1">
        <f>Employees!L30</f>
        <v>61458.333333333343</v>
      </c>
      <c r="M26" s="1">
        <f>Employees!M30</f>
        <v>61458.333333333343</v>
      </c>
      <c r="N26" s="1">
        <f>Employees!N30</f>
        <v>61458.333333333343</v>
      </c>
      <c r="O26" s="1">
        <f>Employees!O30</f>
        <v>71875</v>
      </c>
      <c r="P26" s="1">
        <f>Employees!P30</f>
        <v>71875</v>
      </c>
      <c r="Q26" s="1">
        <f>Employees!Q30</f>
        <v>71875</v>
      </c>
      <c r="R26" s="1">
        <f>Employees!R30</f>
        <v>71875</v>
      </c>
      <c r="S26" s="1">
        <f>Employees!S30</f>
        <v>71875</v>
      </c>
      <c r="T26" s="1">
        <f>Employees!T30</f>
        <v>71875</v>
      </c>
      <c r="U26" s="1">
        <f>Employees!U30</f>
        <v>71875</v>
      </c>
      <c r="V26" s="1">
        <f>Employees!V30</f>
        <v>71875</v>
      </c>
      <c r="W26" s="1">
        <f>Employees!W30</f>
        <v>71875</v>
      </c>
      <c r="X26" s="1">
        <f>Employees!X30</f>
        <v>76041.666666666672</v>
      </c>
      <c r="Y26" s="1">
        <f>Employees!Y30</f>
        <v>76041.666666666672</v>
      </c>
      <c r="Z26" s="1">
        <f>Employees!Z30</f>
        <v>76041.666666666672</v>
      </c>
      <c r="AA26" s="1">
        <f>Employees!AA30</f>
        <v>76041.666666666672</v>
      </c>
      <c r="AB26" s="1">
        <f>Employees!AB30</f>
        <v>76041.666666666672</v>
      </c>
      <c r="AC26" s="1">
        <f>Employees!AC30</f>
        <v>76041.666666666672</v>
      </c>
      <c r="AD26" s="1">
        <f>Employees!AD30</f>
        <v>76041.666666666672</v>
      </c>
      <c r="AE26" s="1">
        <f>Employees!AE30</f>
        <v>76041.666666666672</v>
      </c>
      <c r="AF26" s="1">
        <f>Employees!AF30</f>
        <v>76041.666666666672</v>
      </c>
      <c r="AG26" s="1">
        <f>Employees!AG30</f>
        <v>76041.666666666672</v>
      </c>
      <c r="AH26" s="1">
        <f>Employees!AH30</f>
        <v>76041.666666666672</v>
      </c>
      <c r="AI26" s="1">
        <f>Employees!AI30</f>
        <v>76041.666666666672</v>
      </c>
      <c r="AJ26" s="1">
        <f>Employees!AJ30</f>
        <v>76041.666666666672</v>
      </c>
      <c r="AK26" s="1">
        <f>Employees!AK30</f>
        <v>76041.666666666672</v>
      </c>
      <c r="AL26" s="1">
        <f>Employees!AL30</f>
        <v>76041.666666666672</v>
      </c>
      <c r="AM26" s="1">
        <f>Employees!AM30</f>
        <v>76041.666666666672</v>
      </c>
      <c r="AN26" s="1">
        <f>Employees!AN30</f>
        <v>76041.666666666672</v>
      </c>
      <c r="AO26" s="1">
        <f>Employees!AO30</f>
        <v>76041.666666666672</v>
      </c>
      <c r="AP26" s="1">
        <f>Employees!AP30</f>
        <v>76041.666666666672</v>
      </c>
      <c r="AQ26" s="1">
        <f>Employees!AQ30</f>
        <v>76041.666666666672</v>
      </c>
      <c r="AR26" s="1">
        <f>Employees!AR30</f>
        <v>76041.666666666672</v>
      </c>
      <c r="AS26" s="1">
        <f>Employees!AS30</f>
        <v>76041.666666666672</v>
      </c>
      <c r="AT26" s="1">
        <f>Employees!AT30</f>
        <v>76041.666666666672</v>
      </c>
      <c r="AU26" s="1">
        <f>Employees!AU30</f>
        <v>76041.666666666672</v>
      </c>
      <c r="AV26" s="1">
        <f>Employees!AV30</f>
        <v>76041.666666666672</v>
      </c>
      <c r="AW26" s="1">
        <f>Employees!AW30</f>
        <v>76041.666666666672</v>
      </c>
      <c r="AX26" s="1">
        <f>Employees!AX30</f>
        <v>76041.666666666672</v>
      </c>
      <c r="AY26" s="1">
        <f>Employees!AY30</f>
        <v>76041.666666666672</v>
      </c>
      <c r="AZ26" s="1">
        <f>Employees!AZ30</f>
        <v>76041.666666666672</v>
      </c>
      <c r="BA26" s="1">
        <f>Employees!BA30</f>
        <v>76041.666666666672</v>
      </c>
      <c r="BB26" s="1">
        <f>Employees!BB30</f>
        <v>76041.666666666672</v>
      </c>
      <c r="BC26" s="1">
        <f>Employees!BC30</f>
        <v>76041.666666666672</v>
      </c>
      <c r="BD26" s="1">
        <f>Employees!BD30</f>
        <v>76041.666666666672</v>
      </c>
      <c r="BE26" s="1">
        <f>Employees!BE30</f>
        <v>80208.333333333328</v>
      </c>
      <c r="BF26" s="1">
        <f>Employees!BF30</f>
        <v>80208.333333333328</v>
      </c>
      <c r="BG26" s="1">
        <f>Employees!BG30</f>
        <v>80208.333333333328</v>
      </c>
      <c r="BH26" s="1">
        <f>Employees!BH30</f>
        <v>80208.333333333328</v>
      </c>
      <c r="BI26" s="1">
        <f>Employees!BI30</f>
        <v>80208.333333333328</v>
      </c>
      <c r="BJ26" s="1">
        <f>Employees!BJ30</f>
        <v>80208.333333333328</v>
      </c>
    </row>
    <row r="27" spans="1:62" x14ac:dyDescent="0.2">
      <c r="B27" t="s">
        <v>55</v>
      </c>
      <c r="C27" s="78">
        <v>2000</v>
      </c>
      <c r="D27" s="78">
        <v>2000</v>
      </c>
      <c r="E27" s="78">
        <v>3000</v>
      </c>
      <c r="F27" s="78">
        <v>3500</v>
      </c>
      <c r="G27" s="78">
        <v>3500</v>
      </c>
      <c r="H27" s="1">
        <f>RentPerEmployee*Employees!H14</f>
        <v>3500</v>
      </c>
      <c r="I27" s="1">
        <f>RentPerEmployee*Employees!I14</f>
        <v>3500</v>
      </c>
      <c r="J27" s="1">
        <f>RentPerEmployee*Employees!J14</f>
        <v>3500</v>
      </c>
      <c r="K27" s="1">
        <f>RentPerEmployee*Employees!K14</f>
        <v>3500</v>
      </c>
      <c r="L27" s="1">
        <f>RentPerEmployee*Employees!L14</f>
        <v>3500</v>
      </c>
      <c r="M27" s="1">
        <f>RentPerEmployee*Employees!M14</f>
        <v>3500</v>
      </c>
      <c r="N27" s="1">
        <f>RentPerEmployee*Employees!N14</f>
        <v>3500</v>
      </c>
      <c r="O27" s="1">
        <f>RentPerEmployee*Employees!O14</f>
        <v>4000</v>
      </c>
      <c r="P27" s="1">
        <f>RentPerEmployee*Employees!P14</f>
        <v>4000</v>
      </c>
      <c r="Q27" s="1">
        <f>RentPerEmployee*Employees!Q14</f>
        <v>4000</v>
      </c>
      <c r="R27" s="1">
        <f>RentPerEmployee*Employees!R14</f>
        <v>4000</v>
      </c>
      <c r="S27" s="1">
        <f>RentPerEmployee*Employees!S14</f>
        <v>4000</v>
      </c>
      <c r="T27" s="1">
        <f>RentPerEmployee*Employees!T14</f>
        <v>4000</v>
      </c>
      <c r="U27" s="1">
        <f>RentPerEmployee*Employees!U14</f>
        <v>4000</v>
      </c>
      <c r="V27" s="1">
        <f>RentPerEmployee*Employees!V14</f>
        <v>4000</v>
      </c>
      <c r="W27" s="1">
        <f>RentPerEmployee*Employees!W14</f>
        <v>4000</v>
      </c>
      <c r="X27" s="1">
        <f>RentPerEmployee*Employees!X14</f>
        <v>4500</v>
      </c>
      <c r="Y27" s="1">
        <f>RentPerEmployee*Employees!Y14</f>
        <v>4500</v>
      </c>
      <c r="Z27" s="1">
        <f>RentPerEmployee*Employees!Z14</f>
        <v>4500</v>
      </c>
      <c r="AA27" s="1">
        <f>RentPerEmployee*Employees!AA14</f>
        <v>4500</v>
      </c>
      <c r="AB27" s="1">
        <f>RentPerEmployee*Employees!AB14</f>
        <v>4500</v>
      </c>
      <c r="AC27" s="1">
        <f>RentPerEmployee*Employees!AC14</f>
        <v>4500</v>
      </c>
      <c r="AD27" s="1">
        <f>RentPerEmployee*Employees!AD14</f>
        <v>4500</v>
      </c>
      <c r="AE27" s="1">
        <f>RentPerEmployee*Employees!AE14</f>
        <v>4500</v>
      </c>
      <c r="AF27" s="1">
        <f>RentPerEmployee*Employees!AF14</f>
        <v>4500</v>
      </c>
      <c r="AG27" s="1">
        <f>RentPerEmployee*Employees!AG14</f>
        <v>4500</v>
      </c>
      <c r="AH27" s="1">
        <f>RentPerEmployee*Employees!AH14</f>
        <v>4500</v>
      </c>
      <c r="AI27" s="1">
        <f>RentPerEmployee*Employees!AI14</f>
        <v>4500</v>
      </c>
      <c r="AJ27" s="1">
        <f>RentPerEmployee*Employees!AJ14</f>
        <v>4500</v>
      </c>
      <c r="AK27" s="1">
        <f>RentPerEmployee*Employees!AK14</f>
        <v>4500</v>
      </c>
      <c r="AL27" s="1">
        <f>RentPerEmployee*Employees!AL14</f>
        <v>4500</v>
      </c>
      <c r="AM27" s="1">
        <f>RentPerEmployee*Employees!AM14</f>
        <v>4500</v>
      </c>
      <c r="AN27" s="1">
        <f>RentPerEmployee*Employees!AN14</f>
        <v>4500</v>
      </c>
      <c r="AO27" s="1">
        <f>RentPerEmployee*Employees!AO14</f>
        <v>4500</v>
      </c>
      <c r="AP27" s="1">
        <f>RentPerEmployee*Employees!AP14</f>
        <v>4500</v>
      </c>
      <c r="AQ27" s="1">
        <f>RentPerEmployee*Employees!AQ14</f>
        <v>4500</v>
      </c>
      <c r="AR27" s="1">
        <f>RentPerEmployee*Employees!AR14</f>
        <v>4500</v>
      </c>
      <c r="AS27" s="1">
        <f>RentPerEmployee*Employees!AS14</f>
        <v>4500</v>
      </c>
      <c r="AT27" s="1">
        <f>RentPerEmployee*Employees!AT14</f>
        <v>4500</v>
      </c>
      <c r="AU27" s="1">
        <f>RentPerEmployee*Employees!AU14</f>
        <v>4500</v>
      </c>
      <c r="AV27" s="1">
        <f>RentPerEmployee*Employees!AV14</f>
        <v>4500</v>
      </c>
      <c r="AW27" s="1">
        <f>RentPerEmployee*Employees!AW14</f>
        <v>4500</v>
      </c>
      <c r="AX27" s="1">
        <f>RentPerEmployee*Employees!AX14</f>
        <v>4500</v>
      </c>
      <c r="AY27" s="1">
        <f>RentPerEmployee*Employees!AY14</f>
        <v>4500</v>
      </c>
      <c r="AZ27" s="1">
        <f>RentPerEmployee*Employees!AZ14</f>
        <v>4500</v>
      </c>
      <c r="BA27" s="1">
        <f>RentPerEmployee*Employees!BA14</f>
        <v>4500</v>
      </c>
      <c r="BB27" s="1">
        <f>RentPerEmployee*Employees!BB14</f>
        <v>4500</v>
      </c>
      <c r="BC27" s="1">
        <f>RentPerEmployee*Employees!BC14</f>
        <v>4500</v>
      </c>
      <c r="BD27" s="1">
        <f>RentPerEmployee*Employees!BD14</f>
        <v>4500</v>
      </c>
      <c r="BE27" s="1">
        <f>RentPerEmployee*Employees!BE14</f>
        <v>5000</v>
      </c>
      <c r="BF27" s="1">
        <f>RentPerEmployee*Employees!BF14</f>
        <v>5000</v>
      </c>
      <c r="BG27" s="1">
        <f>RentPerEmployee*Employees!BG14</f>
        <v>5000</v>
      </c>
      <c r="BH27" s="1">
        <f>RentPerEmployee*Employees!BH14</f>
        <v>5000</v>
      </c>
      <c r="BI27" s="1">
        <f>RentPerEmployee*Employees!BI14</f>
        <v>5000</v>
      </c>
      <c r="BJ27" s="1">
        <f>RentPerEmployee*Employees!BJ14</f>
        <v>5000</v>
      </c>
    </row>
    <row r="28" spans="1:62" x14ac:dyDescent="0.2">
      <c r="B28" t="s">
        <v>58</v>
      </c>
      <c r="C28" s="78">
        <v>400</v>
      </c>
      <c r="D28" s="78">
        <v>400</v>
      </c>
      <c r="E28" s="78">
        <v>600</v>
      </c>
      <c r="F28" s="78">
        <v>700</v>
      </c>
      <c r="G28" s="78">
        <v>700</v>
      </c>
      <c r="H28" s="1">
        <f>TechCostPerEmployeePerMonth*Employees!H14</f>
        <v>700</v>
      </c>
      <c r="I28" s="1">
        <f>TechCostPerEmployeePerMonth*Employees!I14</f>
        <v>700</v>
      </c>
      <c r="J28" s="1">
        <f>TechCostPerEmployeePerMonth*Employees!J14</f>
        <v>700</v>
      </c>
      <c r="K28" s="1">
        <f>TechCostPerEmployeePerMonth*Employees!K14</f>
        <v>700</v>
      </c>
      <c r="L28" s="1">
        <f>TechCostPerEmployeePerMonth*Employees!L14</f>
        <v>700</v>
      </c>
      <c r="M28" s="1">
        <f>TechCostPerEmployeePerMonth*Employees!M14</f>
        <v>700</v>
      </c>
      <c r="N28" s="1">
        <f>TechCostPerEmployeePerMonth*Employees!N14</f>
        <v>700</v>
      </c>
      <c r="O28" s="1">
        <f>TechCostPerEmployeePerMonth*Employees!O14</f>
        <v>800</v>
      </c>
      <c r="P28" s="1">
        <f>TechCostPerEmployeePerMonth*Employees!P14</f>
        <v>800</v>
      </c>
      <c r="Q28" s="1">
        <f>TechCostPerEmployeePerMonth*Employees!Q14</f>
        <v>800</v>
      </c>
      <c r="R28" s="1">
        <f>TechCostPerEmployeePerMonth*Employees!R14</f>
        <v>800</v>
      </c>
      <c r="S28" s="1">
        <f>TechCostPerEmployeePerMonth*Employees!S14</f>
        <v>800</v>
      </c>
      <c r="T28" s="1">
        <f>TechCostPerEmployeePerMonth*Employees!T14</f>
        <v>800</v>
      </c>
      <c r="U28" s="1">
        <f>TechCostPerEmployeePerMonth*Employees!U14</f>
        <v>800</v>
      </c>
      <c r="V28" s="1">
        <f>TechCostPerEmployeePerMonth*Employees!V14</f>
        <v>800</v>
      </c>
      <c r="W28" s="1">
        <f>TechCostPerEmployeePerMonth*Employees!W14</f>
        <v>800</v>
      </c>
      <c r="X28" s="1">
        <f>TechCostPerEmployeePerMonth*Employees!X14</f>
        <v>900</v>
      </c>
      <c r="Y28" s="1">
        <f>TechCostPerEmployeePerMonth*Employees!Y14</f>
        <v>900</v>
      </c>
      <c r="Z28" s="1">
        <f>TechCostPerEmployeePerMonth*Employees!Z14</f>
        <v>900</v>
      </c>
      <c r="AA28" s="1">
        <f>TechCostPerEmployeePerMonth*Employees!AA14</f>
        <v>900</v>
      </c>
      <c r="AB28" s="1">
        <f>TechCostPerEmployeePerMonth*Employees!AB14</f>
        <v>900</v>
      </c>
      <c r="AC28" s="1">
        <f>TechCostPerEmployeePerMonth*Employees!AC14</f>
        <v>900</v>
      </c>
      <c r="AD28" s="1">
        <f>TechCostPerEmployeePerMonth*Employees!AD14</f>
        <v>900</v>
      </c>
      <c r="AE28" s="1">
        <f>TechCostPerEmployeePerMonth*Employees!AE14</f>
        <v>900</v>
      </c>
      <c r="AF28" s="1">
        <f>TechCostPerEmployeePerMonth*Employees!AF14</f>
        <v>900</v>
      </c>
      <c r="AG28" s="1">
        <f>TechCostPerEmployeePerMonth*Employees!AG14</f>
        <v>900</v>
      </c>
      <c r="AH28" s="1">
        <f>TechCostPerEmployeePerMonth*Employees!AH14</f>
        <v>900</v>
      </c>
      <c r="AI28" s="1">
        <f>TechCostPerEmployeePerMonth*Employees!AI14</f>
        <v>900</v>
      </c>
      <c r="AJ28" s="1">
        <f>TechCostPerEmployeePerMonth*Employees!AJ14</f>
        <v>900</v>
      </c>
      <c r="AK28" s="1">
        <f>TechCostPerEmployeePerMonth*Employees!AK14</f>
        <v>900</v>
      </c>
      <c r="AL28" s="1">
        <f>TechCostPerEmployeePerMonth*Employees!AL14</f>
        <v>900</v>
      </c>
      <c r="AM28" s="1">
        <f>TechCostPerEmployeePerMonth*Employees!AM14</f>
        <v>900</v>
      </c>
      <c r="AN28" s="1">
        <f>TechCostPerEmployeePerMonth*Employees!AN14</f>
        <v>900</v>
      </c>
      <c r="AO28" s="1">
        <f>TechCostPerEmployeePerMonth*Employees!AO14</f>
        <v>900</v>
      </c>
      <c r="AP28" s="1">
        <f>TechCostPerEmployeePerMonth*Employees!AP14</f>
        <v>900</v>
      </c>
      <c r="AQ28" s="1">
        <f>TechCostPerEmployeePerMonth*Employees!AQ14</f>
        <v>900</v>
      </c>
      <c r="AR28" s="1">
        <f>TechCostPerEmployeePerMonth*Employees!AR14</f>
        <v>900</v>
      </c>
      <c r="AS28" s="1">
        <f>TechCostPerEmployeePerMonth*Employees!AS14</f>
        <v>900</v>
      </c>
      <c r="AT28" s="1">
        <f>TechCostPerEmployeePerMonth*Employees!AT14</f>
        <v>900</v>
      </c>
      <c r="AU28" s="1">
        <f>TechCostPerEmployeePerMonth*Employees!AU14</f>
        <v>900</v>
      </c>
      <c r="AV28" s="1">
        <f>TechCostPerEmployeePerMonth*Employees!AV14</f>
        <v>900</v>
      </c>
      <c r="AW28" s="1">
        <f>TechCostPerEmployeePerMonth*Employees!AW14</f>
        <v>900</v>
      </c>
      <c r="AX28" s="1">
        <f>TechCostPerEmployeePerMonth*Employees!AX14</f>
        <v>900</v>
      </c>
      <c r="AY28" s="1">
        <f>TechCostPerEmployeePerMonth*Employees!AY14</f>
        <v>900</v>
      </c>
      <c r="AZ28" s="1">
        <f>TechCostPerEmployeePerMonth*Employees!AZ14</f>
        <v>900</v>
      </c>
      <c r="BA28" s="1">
        <f>TechCostPerEmployeePerMonth*Employees!BA14</f>
        <v>900</v>
      </c>
      <c r="BB28" s="1">
        <f>TechCostPerEmployeePerMonth*Employees!BB14</f>
        <v>900</v>
      </c>
      <c r="BC28" s="1">
        <f>TechCostPerEmployeePerMonth*Employees!BC14</f>
        <v>900</v>
      </c>
      <c r="BD28" s="1">
        <f>TechCostPerEmployeePerMonth*Employees!BD14</f>
        <v>900</v>
      </c>
      <c r="BE28" s="1">
        <f>TechCostPerEmployeePerMonth*Employees!BE14</f>
        <v>1000</v>
      </c>
      <c r="BF28" s="1">
        <f>TechCostPerEmployeePerMonth*Employees!BF14</f>
        <v>1000</v>
      </c>
      <c r="BG28" s="1">
        <f>TechCostPerEmployeePerMonth*Employees!BG14</f>
        <v>1000</v>
      </c>
      <c r="BH28" s="1">
        <f>TechCostPerEmployeePerMonth*Employees!BH14</f>
        <v>1000</v>
      </c>
      <c r="BI28" s="1">
        <f>TechCostPerEmployeePerMonth*Employees!BI14</f>
        <v>1000</v>
      </c>
      <c r="BJ28" s="1">
        <f>TechCostPerEmployeePerMonth*Employees!BJ14</f>
        <v>1000</v>
      </c>
    </row>
    <row r="29" spans="1:62" x14ac:dyDescent="0.2">
      <c r="B29" t="s">
        <v>59</v>
      </c>
      <c r="C29" s="78">
        <v>500</v>
      </c>
      <c r="D29" s="78">
        <v>500</v>
      </c>
      <c r="E29" s="78">
        <v>500</v>
      </c>
      <c r="F29" s="78">
        <v>500</v>
      </c>
      <c r="G29" s="78">
        <v>500</v>
      </c>
      <c r="H29" s="1">
        <f t="shared" ref="H29:AH29" si="10">LegalAndAccountingCostPerMonth</f>
        <v>500</v>
      </c>
      <c r="I29" s="1">
        <f t="shared" si="10"/>
        <v>500</v>
      </c>
      <c r="J29" s="1">
        <f t="shared" si="10"/>
        <v>500</v>
      </c>
      <c r="K29" s="1">
        <f t="shared" si="10"/>
        <v>500</v>
      </c>
      <c r="L29" s="1">
        <f t="shared" si="10"/>
        <v>500</v>
      </c>
      <c r="M29" s="1">
        <f t="shared" si="10"/>
        <v>500</v>
      </c>
      <c r="N29" s="1">
        <f t="shared" si="10"/>
        <v>500</v>
      </c>
      <c r="O29" s="1">
        <f t="shared" si="10"/>
        <v>500</v>
      </c>
      <c r="P29" s="1">
        <f t="shared" si="10"/>
        <v>500</v>
      </c>
      <c r="Q29" s="1">
        <f t="shared" si="10"/>
        <v>500</v>
      </c>
      <c r="R29" s="1">
        <f t="shared" si="10"/>
        <v>500</v>
      </c>
      <c r="S29" s="1">
        <f t="shared" si="10"/>
        <v>500</v>
      </c>
      <c r="T29" s="1">
        <f t="shared" si="10"/>
        <v>500</v>
      </c>
      <c r="U29" s="1">
        <f t="shared" si="10"/>
        <v>500</v>
      </c>
      <c r="V29" s="1">
        <f t="shared" si="10"/>
        <v>500</v>
      </c>
      <c r="W29" s="1">
        <f t="shared" si="10"/>
        <v>500</v>
      </c>
      <c r="X29" s="1">
        <f t="shared" si="10"/>
        <v>500</v>
      </c>
      <c r="Y29" s="1">
        <f t="shared" si="10"/>
        <v>500</v>
      </c>
      <c r="Z29" s="1">
        <f t="shared" si="10"/>
        <v>500</v>
      </c>
      <c r="AA29" s="1">
        <f t="shared" si="10"/>
        <v>500</v>
      </c>
      <c r="AB29" s="1">
        <f t="shared" si="10"/>
        <v>500</v>
      </c>
      <c r="AC29" s="1">
        <f t="shared" si="10"/>
        <v>500</v>
      </c>
      <c r="AD29" s="1">
        <f t="shared" si="10"/>
        <v>500</v>
      </c>
      <c r="AE29" s="1">
        <f t="shared" si="10"/>
        <v>500</v>
      </c>
      <c r="AF29" s="1">
        <f t="shared" si="10"/>
        <v>500</v>
      </c>
      <c r="AG29" s="1">
        <f t="shared" si="10"/>
        <v>500</v>
      </c>
      <c r="AH29" s="1">
        <f t="shared" si="10"/>
        <v>500</v>
      </c>
      <c r="AI29" s="1">
        <f t="shared" ref="AI29:BJ29" si="11">LegalAndAccountingCostPerMonth</f>
        <v>500</v>
      </c>
      <c r="AJ29" s="1">
        <f t="shared" si="11"/>
        <v>500</v>
      </c>
      <c r="AK29" s="1">
        <f t="shared" si="11"/>
        <v>500</v>
      </c>
      <c r="AL29" s="1">
        <f t="shared" si="11"/>
        <v>500</v>
      </c>
      <c r="AM29" s="1">
        <f t="shared" si="11"/>
        <v>500</v>
      </c>
      <c r="AN29" s="1">
        <f t="shared" si="11"/>
        <v>500</v>
      </c>
      <c r="AO29" s="1">
        <f t="shared" si="11"/>
        <v>500</v>
      </c>
      <c r="AP29" s="1">
        <f t="shared" si="11"/>
        <v>500</v>
      </c>
      <c r="AQ29" s="1">
        <f t="shared" si="11"/>
        <v>500</v>
      </c>
      <c r="AR29" s="1">
        <f t="shared" si="11"/>
        <v>500</v>
      </c>
      <c r="AS29" s="1">
        <f t="shared" si="11"/>
        <v>500</v>
      </c>
      <c r="AT29" s="1">
        <f t="shared" si="11"/>
        <v>500</v>
      </c>
      <c r="AU29" s="1">
        <f t="shared" si="11"/>
        <v>500</v>
      </c>
      <c r="AV29" s="1">
        <f t="shared" si="11"/>
        <v>500</v>
      </c>
      <c r="AW29" s="1">
        <f t="shared" si="11"/>
        <v>500</v>
      </c>
      <c r="AX29" s="1">
        <f t="shared" si="11"/>
        <v>500</v>
      </c>
      <c r="AY29" s="1">
        <f t="shared" si="11"/>
        <v>500</v>
      </c>
      <c r="AZ29" s="1">
        <f t="shared" si="11"/>
        <v>500</v>
      </c>
      <c r="BA29" s="1">
        <f t="shared" si="11"/>
        <v>500</v>
      </c>
      <c r="BB29" s="1">
        <f t="shared" si="11"/>
        <v>500</v>
      </c>
      <c r="BC29" s="1">
        <f t="shared" si="11"/>
        <v>500</v>
      </c>
      <c r="BD29" s="1">
        <f t="shared" si="11"/>
        <v>500</v>
      </c>
      <c r="BE29" s="1">
        <f t="shared" si="11"/>
        <v>500</v>
      </c>
      <c r="BF29" s="1">
        <f t="shared" si="11"/>
        <v>500</v>
      </c>
      <c r="BG29" s="1">
        <f t="shared" si="11"/>
        <v>500</v>
      </c>
      <c r="BH29" s="1">
        <f t="shared" si="11"/>
        <v>500</v>
      </c>
      <c r="BI29" s="1">
        <f t="shared" si="11"/>
        <v>500</v>
      </c>
      <c r="BJ29" s="1">
        <f t="shared" si="11"/>
        <v>500</v>
      </c>
    </row>
    <row r="30" spans="1:62" x14ac:dyDescent="0.2">
      <c r="B30" t="s">
        <v>60</v>
      </c>
      <c r="C30" s="78">
        <v>1000</v>
      </c>
      <c r="D30" s="78">
        <v>1000</v>
      </c>
      <c r="E30" s="78">
        <v>1500</v>
      </c>
      <c r="F30" s="78">
        <v>1750</v>
      </c>
      <c r="G30" s="78">
        <v>1750</v>
      </c>
      <c r="H30" s="1">
        <f>TravelCostPerEmployeePerMonth*Employees!H14</f>
        <v>1750</v>
      </c>
      <c r="I30" s="1">
        <f>TravelCostPerEmployeePerMonth*Employees!I14</f>
        <v>1750</v>
      </c>
      <c r="J30" s="1">
        <f>TravelCostPerEmployeePerMonth*Employees!J14</f>
        <v>1750</v>
      </c>
      <c r="K30" s="1">
        <f>TravelCostPerEmployeePerMonth*Employees!K14</f>
        <v>1750</v>
      </c>
      <c r="L30" s="1">
        <f>TravelCostPerEmployeePerMonth*Employees!L14</f>
        <v>1750</v>
      </c>
      <c r="M30" s="1">
        <f>TravelCostPerEmployeePerMonth*Employees!M14</f>
        <v>1750</v>
      </c>
      <c r="N30" s="1">
        <f>TravelCostPerEmployeePerMonth*Employees!N14</f>
        <v>1750</v>
      </c>
      <c r="O30" s="1">
        <f>TravelCostPerEmployeePerMonth*Employees!O14</f>
        <v>2000</v>
      </c>
      <c r="P30" s="1">
        <f>TravelCostPerEmployeePerMonth*Employees!P14</f>
        <v>2000</v>
      </c>
      <c r="Q30" s="1">
        <f>TravelCostPerEmployeePerMonth*Employees!Q14</f>
        <v>2000</v>
      </c>
      <c r="R30" s="1">
        <f>TravelCostPerEmployeePerMonth*Employees!R14</f>
        <v>2000</v>
      </c>
      <c r="S30" s="1">
        <f>TravelCostPerEmployeePerMonth*Employees!S14</f>
        <v>2000</v>
      </c>
      <c r="T30" s="1">
        <f>TravelCostPerEmployeePerMonth*Employees!T14</f>
        <v>2000</v>
      </c>
      <c r="U30" s="1">
        <f>TravelCostPerEmployeePerMonth*Employees!U14</f>
        <v>2000</v>
      </c>
      <c r="V30" s="1">
        <f>TravelCostPerEmployeePerMonth*Employees!V14</f>
        <v>2000</v>
      </c>
      <c r="W30" s="1">
        <f>TravelCostPerEmployeePerMonth*Employees!W14</f>
        <v>2000</v>
      </c>
      <c r="X30" s="1">
        <f>TravelCostPerEmployeePerMonth*Employees!X14</f>
        <v>2250</v>
      </c>
      <c r="Y30" s="1">
        <f>TravelCostPerEmployeePerMonth*Employees!Y14</f>
        <v>2250</v>
      </c>
      <c r="Z30" s="1">
        <f>TravelCostPerEmployeePerMonth*Employees!Z14</f>
        <v>2250</v>
      </c>
      <c r="AA30" s="1">
        <f>TravelCostPerEmployeePerMonth*Employees!AA14</f>
        <v>2250</v>
      </c>
      <c r="AB30" s="1">
        <f>TravelCostPerEmployeePerMonth*Employees!AB14</f>
        <v>2250</v>
      </c>
      <c r="AC30" s="1">
        <f>TravelCostPerEmployeePerMonth*Employees!AC14</f>
        <v>2250</v>
      </c>
      <c r="AD30" s="1">
        <f>TravelCostPerEmployeePerMonth*Employees!AD14</f>
        <v>2250</v>
      </c>
      <c r="AE30" s="1">
        <f>TravelCostPerEmployeePerMonth*Employees!AE14</f>
        <v>2250</v>
      </c>
      <c r="AF30" s="1">
        <f>TravelCostPerEmployeePerMonth*Employees!AF14</f>
        <v>2250</v>
      </c>
      <c r="AG30" s="1">
        <f>TravelCostPerEmployeePerMonth*Employees!AG14</f>
        <v>2250</v>
      </c>
      <c r="AH30" s="1">
        <f>TravelCostPerEmployeePerMonth*Employees!AH14</f>
        <v>2250</v>
      </c>
      <c r="AI30" s="1">
        <f>TravelCostPerEmployeePerMonth*Employees!AI14</f>
        <v>2250</v>
      </c>
      <c r="AJ30" s="1">
        <f>TravelCostPerEmployeePerMonth*Employees!AJ14</f>
        <v>2250</v>
      </c>
      <c r="AK30" s="1">
        <f>TravelCostPerEmployeePerMonth*Employees!AK14</f>
        <v>2250</v>
      </c>
      <c r="AL30" s="1">
        <f>TravelCostPerEmployeePerMonth*Employees!AL14</f>
        <v>2250</v>
      </c>
      <c r="AM30" s="1">
        <f>TravelCostPerEmployeePerMonth*Employees!AM14</f>
        <v>2250</v>
      </c>
      <c r="AN30" s="1">
        <f>TravelCostPerEmployeePerMonth*Employees!AN14</f>
        <v>2250</v>
      </c>
      <c r="AO30" s="1">
        <f>TravelCostPerEmployeePerMonth*Employees!AO14</f>
        <v>2250</v>
      </c>
      <c r="AP30" s="1">
        <f>TravelCostPerEmployeePerMonth*Employees!AP14</f>
        <v>2250</v>
      </c>
      <c r="AQ30" s="1">
        <f>TravelCostPerEmployeePerMonth*Employees!AQ14</f>
        <v>2250</v>
      </c>
      <c r="AR30" s="1">
        <f>TravelCostPerEmployeePerMonth*Employees!AR14</f>
        <v>2250</v>
      </c>
      <c r="AS30" s="1">
        <f>TravelCostPerEmployeePerMonth*Employees!AS14</f>
        <v>2250</v>
      </c>
      <c r="AT30" s="1">
        <f>TravelCostPerEmployeePerMonth*Employees!AT14</f>
        <v>2250</v>
      </c>
      <c r="AU30" s="1">
        <f>TravelCostPerEmployeePerMonth*Employees!AU14</f>
        <v>2250</v>
      </c>
      <c r="AV30" s="1">
        <f>TravelCostPerEmployeePerMonth*Employees!AV14</f>
        <v>2250</v>
      </c>
      <c r="AW30" s="1">
        <f>TravelCostPerEmployeePerMonth*Employees!AW14</f>
        <v>2250</v>
      </c>
      <c r="AX30" s="1">
        <f>TravelCostPerEmployeePerMonth*Employees!AX14</f>
        <v>2250</v>
      </c>
      <c r="AY30" s="1">
        <f>TravelCostPerEmployeePerMonth*Employees!AY14</f>
        <v>2250</v>
      </c>
      <c r="AZ30" s="1">
        <f>TravelCostPerEmployeePerMonth*Employees!AZ14</f>
        <v>2250</v>
      </c>
      <c r="BA30" s="1">
        <f>TravelCostPerEmployeePerMonth*Employees!BA14</f>
        <v>2250</v>
      </c>
      <c r="BB30" s="1">
        <f>TravelCostPerEmployeePerMonth*Employees!BB14</f>
        <v>2250</v>
      </c>
      <c r="BC30" s="1">
        <f>TravelCostPerEmployeePerMonth*Employees!BC14</f>
        <v>2250</v>
      </c>
      <c r="BD30" s="1">
        <f>TravelCostPerEmployeePerMonth*Employees!BD14</f>
        <v>2250</v>
      </c>
      <c r="BE30" s="1">
        <f>TravelCostPerEmployeePerMonth*Employees!BE14</f>
        <v>2500</v>
      </c>
      <c r="BF30" s="1">
        <f>TravelCostPerEmployeePerMonth*Employees!BF14</f>
        <v>2500</v>
      </c>
      <c r="BG30" s="1">
        <f>TravelCostPerEmployeePerMonth*Employees!BG14</f>
        <v>2500</v>
      </c>
      <c r="BH30" s="1">
        <f>TravelCostPerEmployeePerMonth*Employees!BH14</f>
        <v>2500</v>
      </c>
      <c r="BI30" s="1">
        <f>TravelCostPerEmployeePerMonth*Employees!BI14</f>
        <v>2500</v>
      </c>
      <c r="BJ30" s="1">
        <f>TravelCostPerEmployeePerMonth*Employees!BJ14</f>
        <v>2500</v>
      </c>
    </row>
    <row r="31" spans="1:62" x14ac:dyDescent="0.2">
      <c r="B31" t="s">
        <v>61</v>
      </c>
      <c r="C31" s="78">
        <v>400</v>
      </c>
      <c r="D31" s="78">
        <v>400</v>
      </c>
      <c r="E31" s="78">
        <v>600</v>
      </c>
      <c r="F31" s="78">
        <v>700</v>
      </c>
      <c r="G31" s="78">
        <v>700</v>
      </c>
      <c r="H31" s="1">
        <f>TrainingPerEmployeePerMonth*Employees!H14</f>
        <v>700</v>
      </c>
      <c r="I31" s="1">
        <f>TrainingPerEmployeePerMonth*Employees!I14</f>
        <v>700</v>
      </c>
      <c r="J31" s="1">
        <f>TrainingPerEmployeePerMonth*Employees!J14</f>
        <v>700</v>
      </c>
      <c r="K31" s="1">
        <f>TrainingPerEmployeePerMonth*Employees!K14</f>
        <v>700</v>
      </c>
      <c r="L31" s="1">
        <f>TrainingPerEmployeePerMonth*Employees!L14</f>
        <v>700</v>
      </c>
      <c r="M31" s="1">
        <f>TrainingPerEmployeePerMonth*Employees!M14</f>
        <v>700</v>
      </c>
      <c r="N31" s="1">
        <f>TrainingPerEmployeePerMonth*Employees!N14</f>
        <v>700</v>
      </c>
      <c r="O31" s="1">
        <f>TrainingPerEmployeePerMonth*Employees!O14</f>
        <v>800</v>
      </c>
      <c r="P31" s="1">
        <f>TrainingPerEmployeePerMonth*Employees!P14</f>
        <v>800</v>
      </c>
      <c r="Q31" s="1">
        <f>TrainingPerEmployeePerMonth*Employees!Q14</f>
        <v>800</v>
      </c>
      <c r="R31" s="1">
        <f>TrainingPerEmployeePerMonth*Employees!R14</f>
        <v>800</v>
      </c>
      <c r="S31" s="1">
        <f>TrainingPerEmployeePerMonth*Employees!S14</f>
        <v>800</v>
      </c>
      <c r="T31" s="1">
        <f>TrainingPerEmployeePerMonth*Employees!T14</f>
        <v>800</v>
      </c>
      <c r="U31" s="1">
        <f>TrainingPerEmployeePerMonth*Employees!U14</f>
        <v>800</v>
      </c>
      <c r="V31" s="1">
        <f>TrainingPerEmployeePerMonth*Employees!V14</f>
        <v>800</v>
      </c>
      <c r="W31" s="1">
        <f>TrainingPerEmployeePerMonth*Employees!W14</f>
        <v>800</v>
      </c>
      <c r="X31" s="1">
        <f>TrainingPerEmployeePerMonth*Employees!X14</f>
        <v>900</v>
      </c>
      <c r="Y31" s="1">
        <f>TrainingPerEmployeePerMonth*Employees!Y14</f>
        <v>900</v>
      </c>
      <c r="Z31" s="1">
        <f>TrainingPerEmployeePerMonth*Employees!Z14</f>
        <v>900</v>
      </c>
      <c r="AA31" s="1">
        <f>TrainingPerEmployeePerMonth*Employees!AA14</f>
        <v>900</v>
      </c>
      <c r="AB31" s="1">
        <f>TrainingPerEmployeePerMonth*Employees!AB14</f>
        <v>900</v>
      </c>
      <c r="AC31" s="1">
        <f>TrainingPerEmployeePerMonth*Employees!AC14</f>
        <v>900</v>
      </c>
      <c r="AD31" s="1">
        <f>TrainingPerEmployeePerMonth*Employees!AD14</f>
        <v>900</v>
      </c>
      <c r="AE31" s="1">
        <f>TrainingPerEmployeePerMonth*Employees!AE14</f>
        <v>900</v>
      </c>
      <c r="AF31" s="1">
        <f>TrainingPerEmployeePerMonth*Employees!AF14</f>
        <v>900</v>
      </c>
      <c r="AG31" s="1">
        <f>TrainingPerEmployeePerMonth*Employees!AG14</f>
        <v>900</v>
      </c>
      <c r="AH31" s="1">
        <f>TrainingPerEmployeePerMonth*Employees!AH14</f>
        <v>900</v>
      </c>
      <c r="AI31" s="1">
        <f>TrainingPerEmployeePerMonth*Employees!AI14</f>
        <v>900</v>
      </c>
      <c r="AJ31" s="1">
        <f>TrainingPerEmployeePerMonth*Employees!AJ14</f>
        <v>900</v>
      </c>
      <c r="AK31" s="1">
        <f>TrainingPerEmployeePerMonth*Employees!AK14</f>
        <v>900</v>
      </c>
      <c r="AL31" s="1">
        <f>TrainingPerEmployeePerMonth*Employees!AL14</f>
        <v>900</v>
      </c>
      <c r="AM31" s="1">
        <f>TrainingPerEmployeePerMonth*Employees!AM14</f>
        <v>900</v>
      </c>
      <c r="AN31" s="1">
        <f>TrainingPerEmployeePerMonth*Employees!AN14</f>
        <v>900</v>
      </c>
      <c r="AO31" s="1">
        <f>TrainingPerEmployeePerMonth*Employees!AO14</f>
        <v>900</v>
      </c>
      <c r="AP31" s="1">
        <f>TrainingPerEmployeePerMonth*Employees!AP14</f>
        <v>900</v>
      </c>
      <c r="AQ31" s="1">
        <f>TrainingPerEmployeePerMonth*Employees!AQ14</f>
        <v>900</v>
      </c>
      <c r="AR31" s="1">
        <f>TrainingPerEmployeePerMonth*Employees!AR14</f>
        <v>900</v>
      </c>
      <c r="AS31" s="1">
        <f>TrainingPerEmployeePerMonth*Employees!AS14</f>
        <v>900</v>
      </c>
      <c r="AT31" s="1">
        <f>TrainingPerEmployeePerMonth*Employees!AT14</f>
        <v>900</v>
      </c>
      <c r="AU31" s="1">
        <f>TrainingPerEmployeePerMonth*Employees!AU14</f>
        <v>900</v>
      </c>
      <c r="AV31" s="1">
        <f>TrainingPerEmployeePerMonth*Employees!AV14</f>
        <v>900</v>
      </c>
      <c r="AW31" s="1">
        <f>TrainingPerEmployeePerMonth*Employees!AW14</f>
        <v>900</v>
      </c>
      <c r="AX31" s="1">
        <f>TrainingPerEmployeePerMonth*Employees!AX14</f>
        <v>900</v>
      </c>
      <c r="AY31" s="1">
        <f>TrainingPerEmployeePerMonth*Employees!AY14</f>
        <v>900</v>
      </c>
      <c r="AZ31" s="1">
        <f>TrainingPerEmployeePerMonth*Employees!AZ14</f>
        <v>900</v>
      </c>
      <c r="BA31" s="1">
        <f>TrainingPerEmployeePerMonth*Employees!BA14</f>
        <v>900</v>
      </c>
      <c r="BB31" s="1">
        <f>TrainingPerEmployeePerMonth*Employees!BB14</f>
        <v>900</v>
      </c>
      <c r="BC31" s="1">
        <f>TrainingPerEmployeePerMonth*Employees!BC14</f>
        <v>900</v>
      </c>
      <c r="BD31" s="1">
        <f>TrainingPerEmployeePerMonth*Employees!BD14</f>
        <v>900</v>
      </c>
      <c r="BE31" s="1">
        <f>TrainingPerEmployeePerMonth*Employees!BE14</f>
        <v>1000</v>
      </c>
      <c r="BF31" s="1">
        <f>TrainingPerEmployeePerMonth*Employees!BF14</f>
        <v>1000</v>
      </c>
      <c r="BG31" s="1">
        <f>TrainingPerEmployeePerMonth*Employees!BG14</f>
        <v>1000</v>
      </c>
      <c r="BH31" s="1">
        <f>TrainingPerEmployeePerMonth*Employees!BH14</f>
        <v>1000</v>
      </c>
      <c r="BI31" s="1">
        <f>TrainingPerEmployeePerMonth*Employees!BI14</f>
        <v>1000</v>
      </c>
      <c r="BJ31" s="1">
        <f>TrainingPerEmployeePerMonth*Employees!BJ14</f>
        <v>1000</v>
      </c>
    </row>
    <row r="32" spans="1:62" x14ac:dyDescent="0.2">
      <c r="B32" t="s">
        <v>62</v>
      </c>
      <c r="C32" s="78">
        <v>0</v>
      </c>
      <c r="D32" s="79">
        <v>0</v>
      </c>
      <c r="E32" s="79">
        <v>10000</v>
      </c>
      <c r="F32" s="79">
        <v>5000</v>
      </c>
      <c r="G32" s="79">
        <v>0</v>
      </c>
      <c r="H32">
        <f>RecruitingPerNewEmployee*(Employees!H14-Employees!G14)</f>
        <v>0</v>
      </c>
      <c r="I32">
        <f>RecruitingPerNewEmployee*(Employees!I14-Employees!H14)</f>
        <v>0</v>
      </c>
      <c r="J32">
        <f>RecruitingPerNewEmployee*(Employees!J14-Employees!I14)</f>
        <v>0</v>
      </c>
      <c r="K32">
        <f>RecruitingPerNewEmployee*(Employees!K14-Employees!J14)</f>
        <v>0</v>
      </c>
      <c r="L32">
        <f>RecruitingPerNewEmployee*(Employees!L14-Employees!K14)</f>
        <v>0</v>
      </c>
      <c r="M32">
        <f>RecruitingPerNewEmployee*(Employees!M14-Employees!L14)</f>
        <v>0</v>
      </c>
      <c r="N32">
        <f>RecruitingPerNewEmployee*(Employees!N14-Employees!M14)</f>
        <v>0</v>
      </c>
      <c r="O32">
        <f>RecruitingPerNewEmployee*(Employees!O14-Employees!N14)</f>
        <v>5000</v>
      </c>
      <c r="P32">
        <f>RecruitingPerNewEmployee*(Employees!P14-Employees!O14)</f>
        <v>0</v>
      </c>
      <c r="Q32">
        <f>RecruitingPerNewEmployee*(Employees!Q14-Employees!P14)</f>
        <v>0</v>
      </c>
      <c r="R32">
        <f>RecruitingPerNewEmployee*(Employees!R14-Employees!Q14)</f>
        <v>0</v>
      </c>
      <c r="S32">
        <f>RecruitingPerNewEmployee*(Employees!S14-Employees!R14)</f>
        <v>0</v>
      </c>
      <c r="T32">
        <f>RecruitingPerNewEmployee*(Employees!T14-Employees!S14)</f>
        <v>0</v>
      </c>
      <c r="U32">
        <f>RecruitingPerNewEmployee*(Employees!U14-Employees!T14)</f>
        <v>0</v>
      </c>
      <c r="V32">
        <f>RecruitingPerNewEmployee*(Employees!V14-Employees!U14)</f>
        <v>0</v>
      </c>
      <c r="W32">
        <f>RecruitingPerNewEmployee*(Employees!W14-Employees!V14)</f>
        <v>0</v>
      </c>
      <c r="X32">
        <f>RecruitingPerNewEmployee*(Employees!X14-Employees!W14)</f>
        <v>5000</v>
      </c>
      <c r="Y32">
        <f>RecruitingPerNewEmployee*(Employees!Y14-Employees!X14)</f>
        <v>0</v>
      </c>
      <c r="Z32">
        <f>RecruitingPerNewEmployee*(Employees!Z14-Employees!Y14)</f>
        <v>0</v>
      </c>
      <c r="AA32">
        <f>RecruitingPerNewEmployee*(Employees!AA14-Employees!Z14)</f>
        <v>0</v>
      </c>
      <c r="AB32">
        <f>RecruitingPerNewEmployee*(Employees!AB14-Employees!AA14)</f>
        <v>0</v>
      </c>
      <c r="AC32">
        <f>RecruitingPerNewEmployee*(Employees!AC14-Employees!AB14)</f>
        <v>0</v>
      </c>
      <c r="AD32">
        <f>RecruitingPerNewEmployee*(Employees!AD14-Employees!AC14)</f>
        <v>0</v>
      </c>
      <c r="AE32">
        <f>RecruitingPerNewEmployee*(Employees!AE14-Employees!AD14)</f>
        <v>0</v>
      </c>
      <c r="AF32">
        <f>RecruitingPerNewEmployee*(Employees!AF14-Employees!AE14)</f>
        <v>0</v>
      </c>
      <c r="AG32">
        <f>RecruitingPerNewEmployee*(Employees!AG14-Employees!AF14)</f>
        <v>0</v>
      </c>
      <c r="AH32">
        <f>RecruitingPerNewEmployee*(Employees!AH14-Employees!AG14)</f>
        <v>0</v>
      </c>
      <c r="AI32">
        <f>RecruitingPerNewEmployee*(Employees!AI14-Employees!AH14)</f>
        <v>0</v>
      </c>
      <c r="AJ32">
        <f>RecruitingPerNewEmployee*(Employees!AJ14-Employees!AI14)</f>
        <v>0</v>
      </c>
      <c r="AK32">
        <f>RecruitingPerNewEmployee*(Employees!AK14-Employees!AJ14)</f>
        <v>0</v>
      </c>
      <c r="AL32">
        <f>RecruitingPerNewEmployee*(Employees!AL14-Employees!AK14)</f>
        <v>0</v>
      </c>
      <c r="AM32">
        <f>RecruitingPerNewEmployee*(Employees!AM14-Employees!AL14)</f>
        <v>0</v>
      </c>
      <c r="AN32">
        <f>RecruitingPerNewEmployee*(Employees!AN14-Employees!AM14)</f>
        <v>0</v>
      </c>
      <c r="AO32">
        <f>RecruitingPerNewEmployee*(Employees!AO14-Employees!AN14)</f>
        <v>0</v>
      </c>
      <c r="AP32">
        <f>RecruitingPerNewEmployee*(Employees!AP14-Employees!AO14)</f>
        <v>0</v>
      </c>
      <c r="AQ32">
        <f>RecruitingPerNewEmployee*(Employees!AQ14-Employees!AP14)</f>
        <v>0</v>
      </c>
      <c r="AR32">
        <f>RecruitingPerNewEmployee*(Employees!AR14-Employees!AQ14)</f>
        <v>0</v>
      </c>
      <c r="AS32">
        <f>RecruitingPerNewEmployee*(Employees!AS14-Employees!AR14)</f>
        <v>0</v>
      </c>
      <c r="AT32">
        <f>RecruitingPerNewEmployee*(Employees!AT14-Employees!AS14)</f>
        <v>0</v>
      </c>
      <c r="AU32">
        <f>RecruitingPerNewEmployee*(Employees!AU14-Employees!AT14)</f>
        <v>0</v>
      </c>
      <c r="AV32">
        <f>RecruitingPerNewEmployee*(Employees!AV14-Employees!AU14)</f>
        <v>0</v>
      </c>
      <c r="AW32">
        <f>RecruitingPerNewEmployee*(Employees!AW14-Employees!AV14)</f>
        <v>0</v>
      </c>
      <c r="AX32">
        <f>RecruitingPerNewEmployee*(Employees!AX14-Employees!AW14)</f>
        <v>0</v>
      </c>
      <c r="AY32">
        <f>RecruitingPerNewEmployee*(Employees!AY14-Employees!AX14)</f>
        <v>0</v>
      </c>
      <c r="AZ32">
        <f>RecruitingPerNewEmployee*(Employees!AZ14-Employees!AY14)</f>
        <v>0</v>
      </c>
      <c r="BA32">
        <f>RecruitingPerNewEmployee*(Employees!BA14-Employees!AZ14)</f>
        <v>0</v>
      </c>
      <c r="BB32">
        <f>RecruitingPerNewEmployee*(Employees!BB14-Employees!BA14)</f>
        <v>0</v>
      </c>
      <c r="BC32">
        <f>RecruitingPerNewEmployee*(Employees!BC14-Employees!BB14)</f>
        <v>0</v>
      </c>
      <c r="BD32">
        <f>RecruitingPerNewEmployee*(Employees!BD14-Employees!BC14)</f>
        <v>0</v>
      </c>
      <c r="BE32">
        <f>RecruitingPerNewEmployee*(Employees!BE14-Employees!BD14)</f>
        <v>5000</v>
      </c>
      <c r="BF32">
        <f>RecruitingPerNewEmployee*(Employees!BF14-Employees!BE14)</f>
        <v>0</v>
      </c>
      <c r="BG32">
        <f>RecruitingPerNewEmployee*(Employees!BG14-Employees!BF14)</f>
        <v>0</v>
      </c>
      <c r="BH32">
        <f>RecruitingPerNewEmployee*(Employees!BH14-Employees!BG14)</f>
        <v>0</v>
      </c>
      <c r="BI32">
        <f>RecruitingPerNewEmployee*(Employees!BI14-Employees!BH14)</f>
        <v>0</v>
      </c>
      <c r="BJ32">
        <f>RecruitingPerNewEmployee*(Employees!BJ14-Employees!BI14)</f>
        <v>0</v>
      </c>
    </row>
    <row r="33" spans="1:62" s="7" customFormat="1" x14ac:dyDescent="0.2">
      <c r="A33" s="7" t="s">
        <v>63</v>
      </c>
      <c r="C33" s="89">
        <v>39716.666666666672</v>
      </c>
      <c r="D33" s="89">
        <v>39716.666666666672</v>
      </c>
      <c r="E33" s="89">
        <v>67241.666666666672</v>
      </c>
      <c r="F33" s="89">
        <v>73608.333333333343</v>
      </c>
      <c r="G33" s="89">
        <v>68608.333333333343</v>
      </c>
      <c r="H33" s="20">
        <f t="shared" ref="H33:BJ33" si="12">SUM(H25:H32)</f>
        <v>68608.333333333343</v>
      </c>
      <c r="I33" s="20">
        <f t="shared" si="12"/>
        <v>68608.333333333343</v>
      </c>
      <c r="J33" s="20">
        <f t="shared" si="12"/>
        <v>68608.333333333343</v>
      </c>
      <c r="K33" s="20">
        <f t="shared" si="12"/>
        <v>68608.333333333343</v>
      </c>
      <c r="L33" s="20">
        <f t="shared" si="12"/>
        <v>68608.333333333343</v>
      </c>
      <c r="M33" s="20">
        <f t="shared" si="12"/>
        <v>68608.333333333343</v>
      </c>
      <c r="N33" s="20">
        <f t="shared" si="12"/>
        <v>68608.333333333343</v>
      </c>
      <c r="O33" s="20">
        <f t="shared" si="12"/>
        <v>84975</v>
      </c>
      <c r="P33" s="20">
        <f t="shared" si="12"/>
        <v>79975</v>
      </c>
      <c r="Q33" s="20">
        <f t="shared" si="12"/>
        <v>79975</v>
      </c>
      <c r="R33" s="20">
        <f t="shared" si="12"/>
        <v>79975</v>
      </c>
      <c r="S33" s="20">
        <f t="shared" si="12"/>
        <v>79975</v>
      </c>
      <c r="T33" s="20">
        <f t="shared" si="12"/>
        <v>79975</v>
      </c>
      <c r="U33" s="20">
        <f t="shared" si="12"/>
        <v>79975</v>
      </c>
      <c r="V33" s="20">
        <f t="shared" si="12"/>
        <v>79975</v>
      </c>
      <c r="W33" s="20">
        <f t="shared" si="12"/>
        <v>79975</v>
      </c>
      <c r="X33" s="20">
        <f t="shared" si="12"/>
        <v>90091.666666666672</v>
      </c>
      <c r="Y33" s="20">
        <f t="shared" si="12"/>
        <v>85091.666666666672</v>
      </c>
      <c r="Z33" s="20">
        <f t="shared" si="12"/>
        <v>85091.666666666672</v>
      </c>
      <c r="AA33" s="20">
        <f t="shared" si="12"/>
        <v>85091.666666666672</v>
      </c>
      <c r="AB33" s="20">
        <f t="shared" si="12"/>
        <v>85091.666666666672</v>
      </c>
      <c r="AC33" s="20">
        <f t="shared" si="12"/>
        <v>85091.666666666672</v>
      </c>
      <c r="AD33" s="20">
        <f t="shared" si="12"/>
        <v>85091.666666666672</v>
      </c>
      <c r="AE33" s="20">
        <f t="shared" si="12"/>
        <v>85091.666666666672</v>
      </c>
      <c r="AF33" s="20">
        <f t="shared" si="12"/>
        <v>85091.666666666672</v>
      </c>
      <c r="AG33" s="20">
        <f t="shared" si="12"/>
        <v>85091.666666666672</v>
      </c>
      <c r="AH33" s="20">
        <f t="shared" si="12"/>
        <v>85091.666666666672</v>
      </c>
      <c r="AI33" s="20">
        <f t="shared" si="12"/>
        <v>85091.666666666672</v>
      </c>
      <c r="AJ33" s="20">
        <f t="shared" si="12"/>
        <v>85091.666666666672</v>
      </c>
      <c r="AK33" s="20">
        <f t="shared" si="12"/>
        <v>85091.666666666672</v>
      </c>
      <c r="AL33" s="20">
        <f t="shared" si="12"/>
        <v>85091.666666666672</v>
      </c>
      <c r="AM33" s="20">
        <f t="shared" si="12"/>
        <v>85091.666666666672</v>
      </c>
      <c r="AN33" s="20">
        <f t="shared" si="12"/>
        <v>85091.666666666672</v>
      </c>
      <c r="AO33" s="20">
        <f t="shared" si="12"/>
        <v>85091.666666666672</v>
      </c>
      <c r="AP33" s="20">
        <f t="shared" si="12"/>
        <v>85091.666666666672</v>
      </c>
      <c r="AQ33" s="20">
        <f t="shared" si="12"/>
        <v>85091.666666666672</v>
      </c>
      <c r="AR33" s="20">
        <f t="shared" si="12"/>
        <v>85091.666666666672</v>
      </c>
      <c r="AS33" s="20">
        <f t="shared" si="12"/>
        <v>85091.666666666672</v>
      </c>
      <c r="AT33" s="20">
        <f t="shared" si="12"/>
        <v>85091.666666666672</v>
      </c>
      <c r="AU33" s="20">
        <f t="shared" si="12"/>
        <v>85091.666666666672</v>
      </c>
      <c r="AV33" s="20">
        <f t="shared" si="12"/>
        <v>85091.666666666672</v>
      </c>
      <c r="AW33" s="20">
        <f t="shared" si="12"/>
        <v>85091.666666666672</v>
      </c>
      <c r="AX33" s="20">
        <f t="shared" si="12"/>
        <v>85091.666666666672</v>
      </c>
      <c r="AY33" s="20">
        <f t="shared" si="12"/>
        <v>85091.666666666672</v>
      </c>
      <c r="AZ33" s="20">
        <f t="shared" si="12"/>
        <v>85091.666666666672</v>
      </c>
      <c r="BA33" s="20">
        <f t="shared" si="12"/>
        <v>85091.666666666672</v>
      </c>
      <c r="BB33" s="20">
        <f t="shared" si="12"/>
        <v>85091.666666666672</v>
      </c>
      <c r="BC33" s="20">
        <f t="shared" si="12"/>
        <v>85091.666666666672</v>
      </c>
      <c r="BD33" s="20">
        <f t="shared" si="12"/>
        <v>85091.666666666672</v>
      </c>
      <c r="BE33" s="20">
        <f t="shared" si="12"/>
        <v>95208.333333333328</v>
      </c>
      <c r="BF33" s="20">
        <f t="shared" si="12"/>
        <v>90208.333333333328</v>
      </c>
      <c r="BG33" s="20">
        <f t="shared" si="12"/>
        <v>90208.333333333328</v>
      </c>
      <c r="BH33" s="20">
        <f t="shared" si="12"/>
        <v>90208.333333333328</v>
      </c>
      <c r="BI33" s="20">
        <f t="shared" si="12"/>
        <v>90208.333333333328</v>
      </c>
      <c r="BJ33" s="20">
        <f t="shared" si="12"/>
        <v>90208.333333333328</v>
      </c>
    </row>
    <row r="34" spans="1:62" x14ac:dyDescent="0.2">
      <c r="C34" s="79"/>
      <c r="D34" s="79"/>
      <c r="E34" s="79"/>
      <c r="F34" s="79"/>
      <c r="G34" s="79"/>
    </row>
    <row r="35" spans="1:62" s="7" customFormat="1" x14ac:dyDescent="0.2">
      <c r="A35" s="7" t="s">
        <v>64</v>
      </c>
      <c r="C35" s="92">
        <v>-39583.657921666672</v>
      </c>
      <c r="D35" s="92">
        <v>-39520.790442666672</v>
      </c>
      <c r="E35" s="92">
        <v>-67235.061886866664</v>
      </c>
      <c r="F35" s="92">
        <v>-73509.984428533338</v>
      </c>
      <c r="G35" s="92">
        <v>-82350.191269333343</v>
      </c>
      <c r="H35" s="23">
        <f t="shared" ref="H35:BJ35" si="13">H23-H33</f>
        <v>-80607.123132851615</v>
      </c>
      <c r="I35" s="23">
        <f t="shared" si="13"/>
        <v>-79017.054612172084</v>
      </c>
      <c r="J35" s="23">
        <f t="shared" si="13"/>
        <v>-77444.715866524377</v>
      </c>
      <c r="K35" s="23">
        <f t="shared" si="13"/>
        <v>-75868.490960574665</v>
      </c>
      <c r="L35" s="23">
        <f t="shared" si="13"/>
        <v>-74324.439618173928</v>
      </c>
      <c r="M35" s="23">
        <f t="shared" si="13"/>
        <v>-72788.909428653831</v>
      </c>
      <c r="N35" s="23">
        <f t="shared" si="13"/>
        <v>-71266.408360563961</v>
      </c>
      <c r="O35" s="23">
        <f t="shared" si="13"/>
        <v>-86117.725892514223</v>
      </c>
      <c r="P35" s="23">
        <f t="shared" si="13"/>
        <v>-79623.621997038965</v>
      </c>
      <c r="Q35" s="23">
        <f t="shared" si="13"/>
        <v>-78132.837331456976</v>
      </c>
      <c r="R35" s="23">
        <f t="shared" si="13"/>
        <v>-76662.559691718518</v>
      </c>
      <c r="S35" s="23">
        <f t="shared" si="13"/>
        <v>-75207.418459821027</v>
      </c>
      <c r="T35" s="23">
        <f t="shared" si="13"/>
        <v>-73764.146858480322</v>
      </c>
      <c r="U35" s="23">
        <f t="shared" si="13"/>
        <v>-72315.927346876459</v>
      </c>
      <c r="V35" s="23">
        <f t="shared" si="13"/>
        <v>-70850.860299237043</v>
      </c>
      <c r="W35" s="23">
        <f t="shared" si="13"/>
        <v>-69384.147237479861</v>
      </c>
      <c r="X35" s="23">
        <f t="shared" si="13"/>
        <v>-78274.291094657296</v>
      </c>
      <c r="Y35" s="23">
        <f t="shared" si="13"/>
        <v>-72065.990250359377</v>
      </c>
      <c r="Z35" s="23">
        <f t="shared" si="13"/>
        <v>-70847.153658931551</v>
      </c>
      <c r="AA35" s="23">
        <f t="shared" si="13"/>
        <v>-69645.458494552382</v>
      </c>
      <c r="AB35" s="23">
        <f t="shared" si="13"/>
        <v>-68419.443207886303</v>
      </c>
      <c r="AC35" s="23">
        <f t="shared" si="13"/>
        <v>-67179.8065420044</v>
      </c>
      <c r="AD35" s="23">
        <f t="shared" si="13"/>
        <v>-65931.134176678315</v>
      </c>
      <c r="AE35" s="23">
        <f t="shared" si="13"/>
        <v>-64654.811340123488</v>
      </c>
      <c r="AF35" s="23">
        <f t="shared" si="13"/>
        <v>-63368.043957431189</v>
      </c>
      <c r="AG35" s="23">
        <f t="shared" si="13"/>
        <v>-62032.401991605846</v>
      </c>
      <c r="AH35" s="23">
        <f t="shared" si="13"/>
        <v>-60672.00382459625</v>
      </c>
      <c r="AI35" s="23">
        <f t="shared" si="13"/>
        <v>-59254.584559209732</v>
      </c>
      <c r="AJ35" s="23">
        <f t="shared" si="13"/>
        <v>-57770.262631946738</v>
      </c>
      <c r="AK35" s="23">
        <f t="shared" si="13"/>
        <v>-56245.250330838724</v>
      </c>
      <c r="AL35" s="23">
        <f t="shared" si="13"/>
        <v>-54624.914595218303</v>
      </c>
      <c r="AM35" s="23">
        <f t="shared" si="13"/>
        <v>-52906.06735915078</v>
      </c>
      <c r="AN35" s="23">
        <f t="shared" si="13"/>
        <v>-51107.236419520239</v>
      </c>
      <c r="AO35" s="23">
        <f t="shared" si="13"/>
        <v>-49179.987969044028</v>
      </c>
      <c r="AP35" s="23">
        <f t="shared" si="13"/>
        <v>-47120.725795288527</v>
      </c>
      <c r="AQ35" s="23">
        <f t="shared" si="13"/>
        <v>-44925.703577641616</v>
      </c>
      <c r="AR35" s="23">
        <f t="shared" si="13"/>
        <v>-42543.367891999442</v>
      </c>
      <c r="AS35" s="23">
        <f t="shared" si="13"/>
        <v>-40004.331292793373</v>
      </c>
      <c r="AT35" s="23">
        <f t="shared" si="13"/>
        <v>-37231.100919204197</v>
      </c>
      <c r="AU35" s="23">
        <f t="shared" si="13"/>
        <v>-34254.438408825124</v>
      </c>
      <c r="AV35" s="23">
        <f t="shared" si="13"/>
        <v>-30994.407736698588</v>
      </c>
      <c r="AW35" s="23">
        <f t="shared" si="13"/>
        <v>-27442.979810188481</v>
      </c>
      <c r="AX35" s="23">
        <f t="shared" si="13"/>
        <v>-23579.79084000182</v>
      </c>
      <c r="AY35" s="23">
        <f t="shared" si="13"/>
        <v>-19344.94918357885</v>
      </c>
      <c r="AZ35" s="23">
        <f t="shared" si="13"/>
        <v>-14715.716006267568</v>
      </c>
      <c r="BA35" s="23">
        <f t="shared" si="13"/>
        <v>-9668.8950604454003</v>
      </c>
      <c r="BB35" s="23">
        <f t="shared" si="13"/>
        <v>-4087.159195945409</v>
      </c>
      <c r="BC35" s="23">
        <f t="shared" si="13"/>
        <v>2045.1467839438264</v>
      </c>
      <c r="BD35" s="23">
        <f t="shared" si="13"/>
        <v>8792.3152764935658</v>
      </c>
      <c r="BE35" s="23">
        <f t="shared" si="13"/>
        <v>6115.8872076812986</v>
      </c>
      <c r="BF35" s="23">
        <f t="shared" si="13"/>
        <v>19330.578824813987</v>
      </c>
      <c r="BG35" s="23">
        <f t="shared" si="13"/>
        <v>28397.873254645776</v>
      </c>
      <c r="BH35" s="23">
        <f t="shared" si="13"/>
        <v>38411.400941680462</v>
      </c>
      <c r="BI35" s="23">
        <f t="shared" si="13"/>
        <v>49480.455738138451</v>
      </c>
      <c r="BJ35" s="23">
        <f t="shared" si="13"/>
        <v>61739.960084832317</v>
      </c>
    </row>
    <row r="36" spans="1:62" s="7" customFormat="1" x14ac:dyDescent="0.2">
      <c r="C36" s="92"/>
      <c r="D36" s="92"/>
      <c r="E36" s="92"/>
      <c r="F36" s="92"/>
      <c r="G36" s="9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</row>
    <row r="37" spans="1:62" s="7" customFormat="1" x14ac:dyDescent="0.2">
      <c r="B37" s="56" t="s">
        <v>125</v>
      </c>
      <c r="C37" s="93">
        <v>43196.921666666669</v>
      </c>
      <c r="D37" s="93">
        <v>43462.182166666673</v>
      </c>
      <c r="E37" s="93">
        <v>71588.581666666665</v>
      </c>
      <c r="F37" s="93">
        <v>78426.842333333349</v>
      </c>
      <c r="G37" s="93">
        <v>104815.48733333334</v>
      </c>
      <c r="H37" s="63">
        <f t="shared" ref="H37:BJ37" si="14">H14+H21+H33</f>
        <v>108217.48164040843</v>
      </c>
      <c r="I37" s="63">
        <f t="shared" si="14"/>
        <v>111544.96705295841</v>
      </c>
      <c r="J37" s="63">
        <f t="shared" si="14"/>
        <v>114765.01537872941</v>
      </c>
      <c r="K37" s="63">
        <f t="shared" si="14"/>
        <v>117928.94039651079</v>
      </c>
      <c r="L37" s="63">
        <f t="shared" si="14"/>
        <v>120957.51960701328</v>
      </c>
      <c r="M37" s="63">
        <f t="shared" si="14"/>
        <v>123908.88576125953</v>
      </c>
      <c r="N37" s="63">
        <f t="shared" si="14"/>
        <v>126769.00265892968</v>
      </c>
      <c r="O37" s="63">
        <f t="shared" si="14"/>
        <v>145942.52683101647</v>
      </c>
      <c r="P37" s="63">
        <f t="shared" si="14"/>
        <v>143666.41746810902</v>
      </c>
      <c r="Q37" s="63">
        <f t="shared" si="14"/>
        <v>146339.8382224557</v>
      </c>
      <c r="R37" s="63">
        <f t="shared" si="14"/>
        <v>148921.43491622101</v>
      </c>
      <c r="S37" s="63">
        <f t="shared" si="14"/>
        <v>151454.22384512049</v>
      </c>
      <c r="T37" s="63">
        <f t="shared" si="14"/>
        <v>153916.76529174298</v>
      </c>
      <c r="U37" s="63">
        <f t="shared" si="14"/>
        <v>156354.72367643728</v>
      </c>
      <c r="V37" s="63">
        <f t="shared" si="14"/>
        <v>158792.87769201811</v>
      </c>
      <c r="W37" s="63">
        <f t="shared" si="14"/>
        <v>161197.1916787159</v>
      </c>
      <c r="X37" s="63">
        <f t="shared" si="14"/>
        <v>173684.6136192983</v>
      </c>
      <c r="Y37" s="63">
        <f t="shared" si="14"/>
        <v>171022.098395045</v>
      </c>
      <c r="Z37" s="63">
        <f t="shared" si="14"/>
        <v>173387.73946228332</v>
      </c>
      <c r="AA37" s="63">
        <f t="shared" si="14"/>
        <v>175722.25349918206</v>
      </c>
      <c r="AB37" s="63">
        <f t="shared" si="14"/>
        <v>178111.18178264337</v>
      </c>
      <c r="AC37" s="63">
        <f t="shared" si="14"/>
        <v>180534.80918230733</v>
      </c>
      <c r="AD37" s="63">
        <f t="shared" si="14"/>
        <v>182976.68679092667</v>
      </c>
      <c r="AE37" s="63">
        <f t="shared" si="14"/>
        <v>185479.9576206989</v>
      </c>
      <c r="AF37" s="63">
        <f t="shared" si="14"/>
        <v>188004.16205857304</v>
      </c>
      <c r="AG37" s="63">
        <f t="shared" si="14"/>
        <v>190638.62649091682</v>
      </c>
      <c r="AH37" s="63">
        <f t="shared" si="14"/>
        <v>193321.19845656556</v>
      </c>
      <c r="AI37" s="63">
        <f t="shared" si="14"/>
        <v>196121.24126627322</v>
      </c>
      <c r="AJ37" s="63">
        <f t="shared" si="14"/>
        <v>199066.84519781472</v>
      </c>
      <c r="AK37" s="63">
        <f t="shared" si="14"/>
        <v>202090.85427376258</v>
      </c>
      <c r="AL37" s="63">
        <f t="shared" si="14"/>
        <v>205314.68653104221</v>
      </c>
      <c r="AM37" s="63">
        <f t="shared" si="14"/>
        <v>208745.16449898167</v>
      </c>
      <c r="AN37" s="63">
        <f t="shared" si="14"/>
        <v>212338.38687753794</v>
      </c>
      <c r="AO37" s="63">
        <f t="shared" si="14"/>
        <v>216195.63279899262</v>
      </c>
      <c r="AP37" s="63">
        <f t="shared" si="14"/>
        <v>220324.46818767505</v>
      </c>
      <c r="AQ37" s="63">
        <f t="shared" si="14"/>
        <v>224732.74298917939</v>
      </c>
      <c r="AR37" s="63">
        <f t="shared" si="14"/>
        <v>229528.77157699713</v>
      </c>
      <c r="AS37" s="63">
        <f t="shared" si="14"/>
        <v>234645.52933492925</v>
      </c>
      <c r="AT37" s="63">
        <f t="shared" si="14"/>
        <v>240251.65746517543</v>
      </c>
      <c r="AU37" s="63">
        <f t="shared" si="14"/>
        <v>246268.56063517678</v>
      </c>
      <c r="AV37" s="63">
        <f t="shared" si="14"/>
        <v>252870.31677740894</v>
      </c>
      <c r="AW37" s="63">
        <f t="shared" si="14"/>
        <v>260074.06633784639</v>
      </c>
      <c r="AX37" s="63">
        <f t="shared" si="14"/>
        <v>267920.08943696239</v>
      </c>
      <c r="AY37" s="63">
        <f t="shared" si="14"/>
        <v>276535.21855831426</v>
      </c>
      <c r="AZ37" s="63">
        <f t="shared" si="14"/>
        <v>285964.89596692537</v>
      </c>
      <c r="BA37" s="63">
        <f t="shared" si="14"/>
        <v>296255.42842673376</v>
      </c>
      <c r="BB37" s="63">
        <f t="shared" si="14"/>
        <v>307656.03575013793</v>
      </c>
      <c r="BC37" s="63">
        <f t="shared" si="14"/>
        <v>320200.41929433233</v>
      </c>
      <c r="BD37" s="63">
        <f t="shared" si="14"/>
        <v>334013.52439293789</v>
      </c>
      <c r="BE37" s="63">
        <f t="shared" si="14"/>
        <v>359391.08711977844</v>
      </c>
      <c r="BF37" s="63">
        <f t="shared" si="14"/>
        <v>371258.45288617804</v>
      </c>
      <c r="BG37" s="63">
        <f t="shared" si="14"/>
        <v>389899.50823795953</v>
      </c>
      <c r="BH37" s="63">
        <f t="shared" si="14"/>
        <v>410511.7089963819</v>
      </c>
      <c r="BI37" s="63">
        <f t="shared" si="14"/>
        <v>433323.10277118458</v>
      </c>
      <c r="BJ37" s="63">
        <f t="shared" si="14"/>
        <v>458626.53232358576</v>
      </c>
    </row>
    <row r="38" spans="1:62" s="59" customFormat="1" x14ac:dyDescent="0.2">
      <c r="B38" s="59" t="s">
        <v>71</v>
      </c>
      <c r="C38" s="94">
        <v>4</v>
      </c>
      <c r="D38" s="94">
        <v>4</v>
      </c>
      <c r="E38" s="94">
        <v>6</v>
      </c>
      <c r="F38" s="94">
        <v>7</v>
      </c>
      <c r="G38" s="94">
        <v>7</v>
      </c>
      <c r="H38" s="60">
        <f>Employees!H14</f>
        <v>7</v>
      </c>
      <c r="I38" s="60">
        <f>Employees!I14</f>
        <v>7</v>
      </c>
      <c r="J38" s="60">
        <f>Employees!J14</f>
        <v>7</v>
      </c>
      <c r="K38" s="60">
        <f>Employees!K14</f>
        <v>7</v>
      </c>
      <c r="L38" s="60">
        <f>Employees!L14</f>
        <v>7</v>
      </c>
      <c r="M38" s="60">
        <f>Employees!M14</f>
        <v>7</v>
      </c>
      <c r="N38" s="60">
        <f>Employees!N14</f>
        <v>7</v>
      </c>
      <c r="O38" s="60">
        <f>Employees!O14</f>
        <v>8</v>
      </c>
      <c r="P38" s="60">
        <f>Employees!P14</f>
        <v>8</v>
      </c>
      <c r="Q38" s="60">
        <f>Employees!Q14</f>
        <v>8</v>
      </c>
      <c r="R38" s="60">
        <f>Employees!R14</f>
        <v>8</v>
      </c>
      <c r="S38" s="60">
        <f>Employees!S14</f>
        <v>8</v>
      </c>
      <c r="T38" s="60">
        <f>Employees!T14</f>
        <v>8</v>
      </c>
      <c r="U38" s="60">
        <f>Employees!U14</f>
        <v>8</v>
      </c>
      <c r="V38" s="60">
        <f>Employees!V14</f>
        <v>8</v>
      </c>
      <c r="W38" s="60">
        <f>Employees!W14</f>
        <v>8</v>
      </c>
      <c r="X38" s="60">
        <f>Employees!X14</f>
        <v>9</v>
      </c>
      <c r="Y38" s="60">
        <f>Employees!Y14</f>
        <v>9</v>
      </c>
      <c r="Z38" s="60">
        <f>Employees!Z14</f>
        <v>9</v>
      </c>
      <c r="AA38" s="60">
        <f>Employees!AA14</f>
        <v>9</v>
      </c>
      <c r="AB38" s="60">
        <f>Employees!AB14</f>
        <v>9</v>
      </c>
      <c r="AC38" s="60">
        <f>Employees!AC14</f>
        <v>9</v>
      </c>
      <c r="AD38" s="60">
        <f>Employees!AD14</f>
        <v>9</v>
      </c>
      <c r="AE38" s="60">
        <f>Employees!AE14</f>
        <v>9</v>
      </c>
      <c r="AF38" s="60">
        <f>Employees!AF14</f>
        <v>9</v>
      </c>
      <c r="AG38" s="60">
        <f>Employees!AG14</f>
        <v>9</v>
      </c>
      <c r="AH38" s="60">
        <f>Employees!AH14</f>
        <v>9</v>
      </c>
      <c r="AI38" s="60">
        <f>Employees!AI14</f>
        <v>9</v>
      </c>
      <c r="AJ38" s="60">
        <f>Employees!AJ14</f>
        <v>9</v>
      </c>
      <c r="AK38" s="60">
        <f>Employees!AK14</f>
        <v>9</v>
      </c>
      <c r="AL38" s="60">
        <f>Employees!AL14</f>
        <v>9</v>
      </c>
      <c r="AM38" s="60">
        <f>Employees!AM14</f>
        <v>9</v>
      </c>
      <c r="AN38" s="60">
        <f>Employees!AN14</f>
        <v>9</v>
      </c>
      <c r="AO38" s="60">
        <f>Employees!AO14</f>
        <v>9</v>
      </c>
      <c r="AP38" s="60">
        <f>Employees!AP14</f>
        <v>9</v>
      </c>
      <c r="AQ38" s="60">
        <f>Employees!AQ14</f>
        <v>9</v>
      </c>
      <c r="AR38" s="60">
        <f>Employees!AR14</f>
        <v>9</v>
      </c>
      <c r="AS38" s="60">
        <f>Employees!AS14</f>
        <v>9</v>
      </c>
      <c r="AT38" s="60">
        <f>Employees!AT14</f>
        <v>9</v>
      </c>
      <c r="AU38" s="60">
        <f>Employees!AU14</f>
        <v>9</v>
      </c>
      <c r="AV38" s="60">
        <f>Employees!AV14</f>
        <v>9</v>
      </c>
      <c r="AW38" s="60">
        <f>Employees!AW14</f>
        <v>9</v>
      </c>
      <c r="AX38" s="60">
        <f>Employees!AX14</f>
        <v>9</v>
      </c>
      <c r="AY38" s="60">
        <f>Employees!AY14</f>
        <v>9</v>
      </c>
      <c r="AZ38" s="60">
        <f>Employees!AZ14</f>
        <v>9</v>
      </c>
      <c r="BA38" s="60">
        <f>Employees!BA14</f>
        <v>9</v>
      </c>
      <c r="BB38" s="60">
        <f>Employees!BB14</f>
        <v>9</v>
      </c>
      <c r="BC38" s="60">
        <f>Employees!BC14</f>
        <v>9</v>
      </c>
      <c r="BD38" s="60">
        <f>Employees!BD14</f>
        <v>9</v>
      </c>
      <c r="BE38" s="60">
        <f>Employees!BE14</f>
        <v>10</v>
      </c>
      <c r="BF38" s="60">
        <f>Employees!BF14</f>
        <v>10</v>
      </c>
      <c r="BG38" s="60">
        <f>Employees!BG14</f>
        <v>10</v>
      </c>
      <c r="BH38" s="60">
        <f>Employees!BH14</f>
        <v>10</v>
      </c>
      <c r="BI38" s="60">
        <f>Employees!BI14</f>
        <v>10</v>
      </c>
      <c r="BJ38" s="60">
        <f>Employees!BJ14</f>
        <v>10</v>
      </c>
    </row>
    <row r="39" spans="1:62" s="27" customFormat="1" x14ac:dyDescent="0.2">
      <c r="B39" s="27" t="s">
        <v>118</v>
      </c>
      <c r="C39" s="47">
        <f>OpeningCashBalance</f>
        <v>1000000</v>
      </c>
      <c r="N39" s="47">
        <v>0</v>
      </c>
      <c r="O39" s="47">
        <f>SeriesAFunding</f>
        <v>2500000</v>
      </c>
    </row>
  </sheetData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J3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5" sqref="C5"/>
    </sheetView>
    <sheetView zoomScale="190" zoomScaleNormal="190" zoomScalePageLayoutView="160" workbookViewId="1">
      <pane xSplit="1" ySplit="2" topLeftCell="G3" activePane="bottomRight" state="frozen"/>
      <selection activeCell="C56" sqref="C56"/>
      <selection pane="topRight" activeCell="C56" sqref="C56"/>
      <selection pane="bottomLeft" activeCell="C56" sqref="C56"/>
      <selection pane="bottomRight" activeCell="C4" sqref="C4:N4"/>
    </sheetView>
  </sheetViews>
  <sheetFormatPr baseColWidth="10" defaultRowHeight="16" x14ac:dyDescent="0.2"/>
  <cols>
    <col min="1" max="1" width="24.83203125" bestFit="1" customWidth="1"/>
    <col min="2" max="2" width="5.5" customWidth="1"/>
    <col min="3" max="35" width="14.5" bestFit="1" customWidth="1"/>
    <col min="36" max="55" width="15.5" bestFit="1" customWidth="1"/>
    <col min="56" max="59" width="16.6640625" bestFit="1" customWidth="1"/>
    <col min="60" max="62" width="16.83203125" bestFit="1" customWidth="1"/>
  </cols>
  <sheetData>
    <row r="1" spans="1:62" s="1" customFormat="1" x14ac:dyDescent="0.2">
      <c r="A1" s="1" t="s">
        <v>2</v>
      </c>
      <c r="C1" s="1" t="s">
        <v>0</v>
      </c>
    </row>
    <row r="2" spans="1:62" s="2" customFormat="1" x14ac:dyDescent="0.2">
      <c r="C2" s="91">
        <v>43480</v>
      </c>
      <c r="D2" s="91">
        <v>43510</v>
      </c>
      <c r="E2" s="91">
        <v>43540</v>
      </c>
      <c r="F2" s="91">
        <v>43570</v>
      </c>
      <c r="G2" s="91">
        <v>43600</v>
      </c>
      <c r="H2" s="74">
        <f>'Monthly Income Statement'!H2</f>
        <v>43630</v>
      </c>
      <c r="I2" s="74">
        <f>'Monthly Income Statement'!I2</f>
        <v>43660</v>
      </c>
      <c r="J2" s="74">
        <f>'Monthly Income Statement'!J2</f>
        <v>43690</v>
      </c>
      <c r="K2" s="74">
        <f>'Monthly Income Statement'!K2</f>
        <v>43720</v>
      </c>
      <c r="L2" s="74">
        <f>'Monthly Income Statement'!L2</f>
        <v>43750</v>
      </c>
      <c r="M2" s="74">
        <f>'Monthly Income Statement'!M2</f>
        <v>43780</v>
      </c>
      <c r="N2" s="74">
        <f>'Monthly Income Statement'!N2</f>
        <v>43810</v>
      </c>
      <c r="O2" s="74">
        <f>'Monthly Income Statement'!O2</f>
        <v>43840</v>
      </c>
      <c r="P2" s="74">
        <f>'Monthly Income Statement'!P2</f>
        <v>43870</v>
      </c>
      <c r="Q2" s="74">
        <f>'Monthly Income Statement'!Q2</f>
        <v>43900</v>
      </c>
      <c r="R2" s="74">
        <f>'Monthly Income Statement'!R2</f>
        <v>43930</v>
      </c>
      <c r="S2" s="74">
        <f>'Monthly Income Statement'!S2</f>
        <v>43960</v>
      </c>
      <c r="T2" s="74">
        <f>'Monthly Income Statement'!T2</f>
        <v>43990</v>
      </c>
      <c r="U2" s="74">
        <f>'Monthly Income Statement'!U2</f>
        <v>44020</v>
      </c>
      <c r="V2" s="74">
        <f>'Monthly Income Statement'!V2</f>
        <v>44050</v>
      </c>
      <c r="W2" s="74">
        <f>'Monthly Income Statement'!W2</f>
        <v>44080</v>
      </c>
      <c r="X2" s="74">
        <f>'Monthly Income Statement'!X2</f>
        <v>44110</v>
      </c>
      <c r="Y2" s="74">
        <f>'Monthly Income Statement'!Y2</f>
        <v>44140</v>
      </c>
      <c r="Z2" s="74">
        <f>'Monthly Income Statement'!Z2</f>
        <v>44170</v>
      </c>
      <c r="AA2" s="74">
        <f>'Monthly Income Statement'!AA2</f>
        <v>43845</v>
      </c>
      <c r="AB2" s="74">
        <f>'Monthly Income Statement'!AB2</f>
        <v>43875</v>
      </c>
      <c r="AC2" s="74">
        <f>'Monthly Income Statement'!AC2</f>
        <v>43905</v>
      </c>
      <c r="AD2" s="74">
        <f>'Monthly Income Statement'!AD2</f>
        <v>43935</v>
      </c>
      <c r="AE2" s="74">
        <f>'Monthly Income Statement'!AE2</f>
        <v>43965</v>
      </c>
      <c r="AF2" s="74">
        <f>'Monthly Income Statement'!AF2</f>
        <v>43995</v>
      </c>
      <c r="AG2" s="74">
        <f>'Monthly Income Statement'!AG2</f>
        <v>44025</v>
      </c>
      <c r="AH2" s="74">
        <f>'Monthly Income Statement'!AH2</f>
        <v>44055</v>
      </c>
      <c r="AI2" s="74">
        <f>'Monthly Income Statement'!AI2</f>
        <v>44085</v>
      </c>
      <c r="AJ2" s="74">
        <f>'Monthly Income Statement'!AJ2</f>
        <v>44115</v>
      </c>
      <c r="AK2" s="74">
        <f>'Monthly Income Statement'!AK2</f>
        <v>44145</v>
      </c>
      <c r="AL2" s="74">
        <f>'Monthly Income Statement'!AL2</f>
        <v>44175</v>
      </c>
      <c r="AM2" s="74">
        <f>'Monthly Income Statement'!AM2</f>
        <v>44205</v>
      </c>
      <c r="AN2" s="74">
        <f>'Monthly Income Statement'!AN2</f>
        <v>44235</v>
      </c>
      <c r="AO2" s="74">
        <f>'Monthly Income Statement'!AO2</f>
        <v>44265</v>
      </c>
      <c r="AP2" s="74">
        <f>'Monthly Income Statement'!AP2</f>
        <v>44295</v>
      </c>
      <c r="AQ2" s="74">
        <f>'Monthly Income Statement'!AQ2</f>
        <v>44325</v>
      </c>
      <c r="AR2" s="74">
        <f>'Monthly Income Statement'!AR2</f>
        <v>44355</v>
      </c>
      <c r="AS2" s="74">
        <f>'Monthly Income Statement'!AS2</f>
        <v>44385</v>
      </c>
      <c r="AT2" s="74">
        <f>'Monthly Income Statement'!AT2</f>
        <v>44415</v>
      </c>
      <c r="AU2" s="74">
        <f>'Monthly Income Statement'!AU2</f>
        <v>44445</v>
      </c>
      <c r="AV2" s="74">
        <f>'Monthly Income Statement'!AV2</f>
        <v>44475</v>
      </c>
      <c r="AW2" s="74">
        <f>'Monthly Income Statement'!AW2</f>
        <v>44505</v>
      </c>
      <c r="AX2" s="74">
        <f>'Monthly Income Statement'!AX2</f>
        <v>44535</v>
      </c>
      <c r="AY2" s="74">
        <f>'Monthly Income Statement'!AY2</f>
        <v>44576</v>
      </c>
      <c r="AZ2" s="74">
        <f>'Monthly Income Statement'!AZ2</f>
        <v>44606</v>
      </c>
      <c r="BA2" s="74">
        <f>'Monthly Income Statement'!BA2</f>
        <v>44636</v>
      </c>
      <c r="BB2" s="74">
        <f>'Monthly Income Statement'!BB2</f>
        <v>44666</v>
      </c>
      <c r="BC2" s="74">
        <f>'Monthly Income Statement'!BC2</f>
        <v>44696</v>
      </c>
      <c r="BD2" s="74">
        <f>'Monthly Income Statement'!BD2</f>
        <v>44726</v>
      </c>
      <c r="BE2" s="74">
        <f>'Monthly Income Statement'!BE2</f>
        <v>44756</v>
      </c>
      <c r="BF2" s="74">
        <f>'Monthly Income Statement'!BF2</f>
        <v>44786</v>
      </c>
      <c r="BG2" s="74">
        <f>'Monthly Income Statement'!BG2</f>
        <v>44816</v>
      </c>
      <c r="BH2" s="74">
        <f>'Monthly Income Statement'!BH2</f>
        <v>44846</v>
      </c>
      <c r="BI2" s="74">
        <f>'Monthly Income Statement'!BI2</f>
        <v>44876</v>
      </c>
      <c r="BJ2" s="74">
        <f>'Monthly Income Statement'!BJ2</f>
        <v>44906</v>
      </c>
    </row>
    <row r="3" spans="1:62" x14ac:dyDescent="0.2">
      <c r="A3" t="s">
        <v>98</v>
      </c>
      <c r="C3" s="78"/>
      <c r="D3" s="79"/>
      <c r="E3" s="79"/>
      <c r="F3" s="79"/>
      <c r="G3" s="79"/>
    </row>
    <row r="4" spans="1:62" x14ac:dyDescent="0.2">
      <c r="A4" s="37" t="s">
        <v>99</v>
      </c>
      <c r="C4" s="78">
        <f>'Monthly Cash Flow'!C27</f>
        <v>967395.34207833337</v>
      </c>
      <c r="D4" s="78">
        <f>'Monthly Cash Flow'!D27</f>
        <v>928367.55163566675</v>
      </c>
      <c r="E4" s="78">
        <f>'Monthly Cash Flow'!E27</f>
        <v>883581.48974880006</v>
      </c>
      <c r="F4" s="78">
        <f>'Monthly Cash Flow'!F27</f>
        <v>802868.5053202667</v>
      </c>
      <c r="G4" s="78">
        <f>'Monthly Cash Flow'!G27</f>
        <v>699900.31405093335</v>
      </c>
      <c r="H4" s="42">
        <f>'Monthly Cash Flow'!H27</f>
        <v>622393.36014400749</v>
      </c>
      <c r="I4" s="42">
        <f>'Monthly Cash Flow'!I27</f>
        <v>541425.55697378376</v>
      </c>
      <c r="J4" s="42">
        <f>'Monthly Cash Flow'!J27</f>
        <v>462034.26038381865</v>
      </c>
      <c r="K4" s="42">
        <f>'Monthly Cash Flow'!K27</f>
        <v>384198.35709227732</v>
      </c>
      <c r="L4" s="42">
        <f>'Monthly Cash Flow'!L27</f>
        <v>307928.97242752777</v>
      </c>
      <c r="M4" s="42">
        <f>'Monthly Cash Flow'!M27</f>
        <v>233190.72670577531</v>
      </c>
      <c r="N4" s="42">
        <f>'Monthly Cash Flow'!N27</f>
        <v>159974.97070047163</v>
      </c>
      <c r="O4" s="42">
        <f>'Monthly Cash Flow'!O27</f>
        <v>2583807.0981985587</v>
      </c>
      <c r="P4" s="42">
        <f>'Monthly Cash Flow'!P27</f>
        <v>2492249.7670437112</v>
      </c>
      <c r="Q4" s="42">
        <f>'Monthly Cash Flow'!Q27</f>
        <v>2412176.4117360725</v>
      </c>
      <c r="R4" s="42">
        <f>'Monthly Cash Flow'!R27</f>
        <v>2333586.2653482528</v>
      </c>
      <c r="S4" s="42">
        <f>'Monthly Cash Flow'!S27</f>
        <v>2256465.5469648363</v>
      </c>
      <c r="T4" s="42">
        <f>'Monthly Cash Flow'!T27</f>
        <v>2180791.3101656656</v>
      </c>
      <c r="U4" s="42">
        <f>'Monthly Cash Flow'!U27</f>
        <v>2106550.488269656</v>
      </c>
      <c r="V4" s="42">
        <f>'Monthly Cash Flow'!V27</f>
        <v>2033745.2991409451</v>
      </c>
      <c r="W4" s="42">
        <f>'Monthly Cash Flow'!W27</f>
        <v>1962395.4825420645</v>
      </c>
      <c r="X4" s="42">
        <f>'Monthly Cash Flow'!X27</f>
        <v>1894467.46534928</v>
      </c>
      <c r="Y4" s="42">
        <f>'Monthly Cash Flow'!Y27</f>
        <v>1810871.319815336</v>
      </c>
      <c r="Z4" s="42">
        <f>'Monthly Cash Flow'!Z27</f>
        <v>1738482.6123882155</v>
      </c>
      <c r="AA4" s="42">
        <f>'Monthly Cash Flow'!AA27</f>
        <v>1667317.8158652242</v>
      </c>
      <c r="AB4" s="42">
        <f>'Monthly Cash Flow'!AB27</f>
        <v>1597350.0779765376</v>
      </c>
      <c r="AC4" s="42">
        <f>'Monthly Cash Flow'!AC27</f>
        <v>1528606.814119156</v>
      </c>
      <c r="AD4" s="42">
        <f>'Monthly Cash Flow'!AD27</f>
        <v>1461100.9727053118</v>
      </c>
      <c r="AE4" s="42">
        <f>'Monthly Cash Flow'!AE27</f>
        <v>1394838.4141086605</v>
      </c>
      <c r="AF4" s="42">
        <f>'Monthly Cash Flow'!AF27</f>
        <v>1329849.5783409863</v>
      </c>
      <c r="AG4" s="42">
        <f>'Monthly Cash Flow'!AG27</f>
        <v>1266138.4190172721</v>
      </c>
      <c r="AH4" s="42">
        <f>'Monthly Cash Flow'!AH27</f>
        <v>1203756.3613918212</v>
      </c>
      <c r="AI4" s="42">
        <f>'Monthly Cash Flow'!AI27</f>
        <v>1142721.3038206119</v>
      </c>
      <c r="AJ4" s="42">
        <f>'Monthly Cash Flow'!AJ27</f>
        <v>1083089.8787988403</v>
      </c>
      <c r="AK4" s="42">
        <f>'Monthly Cash Flow'!AK27</f>
        <v>1024931.8592100495</v>
      </c>
      <c r="AL4" s="42">
        <f>'Monthly Cash Flow'!AL27</f>
        <v>968277.31514181534</v>
      </c>
      <c r="AM4" s="42">
        <f>'Monthly Cash Flow'!AM27</f>
        <v>913220.88461153128</v>
      </c>
      <c r="AN4" s="42">
        <f>'Monthly Cash Flow'!AN27</f>
        <v>859863.99964229669</v>
      </c>
      <c r="AO4" s="42">
        <f>'Monthly Cash Flow'!AO27</f>
        <v>808275.63836528291</v>
      </c>
      <c r="AP4" s="42">
        <f>'Monthly Cash Flow'!AP27</f>
        <v>758583.41261309292</v>
      </c>
      <c r="AQ4" s="42">
        <f>'Monthly Cash Flow'!AQ27</f>
        <v>710918.48885494529</v>
      </c>
      <c r="AR4" s="42">
        <f>'Monthly Cash Flow'!AR27</f>
        <v>665405.04066002648</v>
      </c>
      <c r="AS4" s="42">
        <f>'Monthly Cash Flow'!AS27</f>
        <v>622236.58475810545</v>
      </c>
      <c r="AT4" s="42">
        <f>'Monthly Cash Flow'!AT27</f>
        <v>581553.86271768168</v>
      </c>
      <c r="AU4" s="42">
        <f>'Monthly Cash Flow'!AU27</f>
        <v>543594.49070819351</v>
      </c>
      <c r="AV4" s="42">
        <f>'Monthly Cash Flow'!AV27</f>
        <v>508545.46833083156</v>
      </c>
      <c r="AW4" s="42">
        <f>'Monthly Cash Flow'!AW27</f>
        <v>476688.4270393597</v>
      </c>
      <c r="AX4" s="42">
        <f>'Monthly Cash Flow'!AX27</f>
        <v>448309.56127631018</v>
      </c>
      <c r="AY4" s="42">
        <f>'Monthly Cash Flow'!AY27</f>
        <v>423707.42147432908</v>
      </c>
      <c r="AZ4" s="42">
        <f>'Monthly Cash Flow'!AZ27</f>
        <v>403247.96675991954</v>
      </c>
      <c r="BA4" s="42">
        <f>'Monthly Cash Flow'!BA27</f>
        <v>387319.7681592374</v>
      </c>
      <c r="BB4" s="42">
        <f>'Monthly Cash Flow'!BB27</f>
        <v>376314.72303126805</v>
      </c>
      <c r="BC4" s="42">
        <f>'Monthly Cash Flow'!BC27</f>
        <v>370764.4302364543</v>
      </c>
      <c r="BD4" s="42">
        <f>'Monthly Cash Flow'!BD27</f>
        <v>371202.47692563717</v>
      </c>
      <c r="BE4" s="42">
        <f>'Monthly Cash Flow'!BE27</f>
        <v>380013.17060211679</v>
      </c>
      <c r="BF4" s="42">
        <f>'Monthly Cash Flow'!BF27</f>
        <v>379184.88053854852</v>
      </c>
      <c r="BG4" s="42">
        <f>'Monthly Cash Flow'!BG27</f>
        <v>396375.25237893406</v>
      </c>
      <c r="BH4" s="42">
        <f>'Monthly Cash Flow'!BH27</f>
        <v>422416.03005790937</v>
      </c>
      <c r="BI4" s="42">
        <f>'Monthly Cash Flow'!BI27</f>
        <v>458228.48834594706</v>
      </c>
      <c r="BJ4" s="42">
        <f>'Monthly Cash Flow'!BJ27</f>
        <v>504840.17321216542</v>
      </c>
    </row>
    <row r="5" spans="1:62" x14ac:dyDescent="0.2">
      <c r="A5" s="37" t="s">
        <v>100</v>
      </c>
      <c r="C5" s="78">
        <v>3556</v>
      </c>
      <c r="D5" s="78">
        <v>3899</v>
      </c>
      <c r="E5" s="78">
        <v>4355</v>
      </c>
      <c r="F5" s="78">
        <v>4907</v>
      </c>
      <c r="G5" s="78">
        <v>22456</v>
      </c>
      <c r="H5" s="42">
        <f>AverageARDays/30*'Monthly Income Statement'!H8</f>
        <v>27610.358507556801</v>
      </c>
      <c r="I5" s="42">
        <f>AverageARDays/30*'Monthly Income Statement'!I8</f>
        <v>32527.912440786335</v>
      </c>
      <c r="J5" s="42">
        <f>AverageARDays/30*'Monthly Income Statement'!J8</f>
        <v>37320.299512205049</v>
      </c>
      <c r="K5" s="42">
        <f>AverageARDays/30*'Monthly Income Statement'!K8</f>
        <v>42060.449435936134</v>
      </c>
      <c r="L5" s="42">
        <f>AverageARDays/30*'Monthly Income Statement'!L8</f>
        <v>46633.079988839345</v>
      </c>
      <c r="M5" s="42">
        <f>AverageARDays/30*'Monthly Income Statement'!M8</f>
        <v>51119.976332605707</v>
      </c>
      <c r="N5" s="42">
        <f>AverageARDays/30*'Monthly Income Statement'!N8</f>
        <v>55502.594298365722</v>
      </c>
      <c r="O5" s="42">
        <f>AverageARDays/30*'Monthly Income Statement'!O8</f>
        <v>59824.80093850226</v>
      </c>
      <c r="P5" s="42">
        <f>AverageARDays/30*'Monthly Income Statement'!P8</f>
        <v>64042.795471070058</v>
      </c>
      <c r="Q5" s="42">
        <f>AverageARDays/30*'Monthly Income Statement'!Q8</f>
        <v>68207.000890998723</v>
      </c>
      <c r="R5" s="42">
        <f>AverageARDays/30*'Monthly Income Statement'!R8</f>
        <v>72258.875224502481</v>
      </c>
      <c r="S5" s="42">
        <f>AverageARDays/30*'Monthly Income Statement'!S8</f>
        <v>76246.805385299464</v>
      </c>
      <c r="T5" s="42">
        <f>AverageARDays/30*'Monthly Income Statement'!T8</f>
        <v>80152.618433262673</v>
      </c>
      <c r="U5" s="42">
        <f>AverageARDays/30*'Monthly Income Statement'!U8</f>
        <v>84038.796329560835</v>
      </c>
      <c r="V5" s="42">
        <f>AverageARDays/30*'Monthly Income Statement'!V8</f>
        <v>87942.017392781054</v>
      </c>
      <c r="W5" s="42">
        <f>AverageARDays/30*'Monthly Income Statement'!W8</f>
        <v>91813.044441236052</v>
      </c>
      <c r="X5" s="42">
        <f>AverageARDays/30*'Monthly Income Statement'!X8</f>
        <v>95410.322524641</v>
      </c>
      <c r="Y5" s="42">
        <f>AverageARDays/30*'Monthly Income Statement'!Y8</f>
        <v>98956.108144685626</v>
      </c>
      <c r="Z5" s="42">
        <f>AverageARDays/30*'Monthly Income Statement'!Z8</f>
        <v>102540.58580335179</v>
      </c>
      <c r="AA5" s="42">
        <f>AverageARDays/30*'Monthly Income Statement'!AA8</f>
        <v>106076.79500462969</v>
      </c>
      <c r="AB5" s="42">
        <f>AverageARDays/30*'Monthly Income Statement'!AB8</f>
        <v>109691.73857475708</v>
      </c>
      <c r="AC5" s="42">
        <f>AverageARDays/30*'Monthly Income Statement'!AC8</f>
        <v>113355.00264030292</v>
      </c>
      <c r="AD5" s="42">
        <f>AverageARDays/30*'Monthly Income Statement'!AD8</f>
        <v>117045.55261424836</v>
      </c>
      <c r="AE5" s="42">
        <f>AverageARDays/30*'Monthly Income Statement'!AE8</f>
        <v>120825.14628057543</v>
      </c>
      <c r="AF5" s="42">
        <f>AverageARDays/30*'Monthly Income Statement'!AF8</f>
        <v>124636.11810114185</v>
      </c>
      <c r="AG5" s="42">
        <f>AverageARDays/30*'Monthly Income Statement'!AG8</f>
        <v>128606.22449931098</v>
      </c>
      <c r="AH5" s="42">
        <f>AverageARDays/30*'Monthly Income Statement'!AH8</f>
        <v>132649.19463196932</v>
      </c>
      <c r="AI5" s="42">
        <f>AverageARDays/30*'Monthly Income Statement'!AI8</f>
        <v>136866.65670706349</v>
      </c>
      <c r="AJ5" s="42">
        <f>AverageARDays/30*'Monthly Income Statement'!AJ8</f>
        <v>141296.58256586798</v>
      </c>
      <c r="AK5" s="42">
        <f>AverageARDays/30*'Monthly Income Statement'!AK8</f>
        <v>145845.60394292386</v>
      </c>
      <c r="AL5" s="42">
        <f>AverageARDays/30*'Monthly Income Statement'!AL8</f>
        <v>150689.7719358239</v>
      </c>
      <c r="AM5" s="42">
        <f>AverageARDays/30*'Monthly Income Statement'!AM8</f>
        <v>155839.09713983088</v>
      </c>
      <c r="AN5" s="42">
        <f>AverageARDays/30*'Monthly Income Statement'!AN8</f>
        <v>161231.15045801771</v>
      </c>
      <c r="AO5" s="42">
        <f>AverageARDays/30*'Monthly Income Statement'!AO8</f>
        <v>167015.64482994858</v>
      </c>
      <c r="AP5" s="42">
        <f>AverageARDays/30*'Monthly Income Statement'!AP8</f>
        <v>173203.74239238654</v>
      </c>
      <c r="AQ5" s="42">
        <f>AverageARDays/30*'Monthly Income Statement'!AQ8</f>
        <v>179807.03941153776</v>
      </c>
      <c r="AR5" s="42">
        <f>AverageARDays/30*'Monthly Income Statement'!AR8</f>
        <v>186985.4036849977</v>
      </c>
      <c r="AS5" s="42">
        <f>AverageARDays/30*'Monthly Income Statement'!AS8</f>
        <v>194641.19804213586</v>
      </c>
      <c r="AT5" s="42">
        <f>AverageARDays/30*'Monthly Income Statement'!AT8</f>
        <v>203020.55654597122</v>
      </c>
      <c r="AU5" s="42">
        <f>AverageARDays/30*'Monthly Income Statement'!AU8</f>
        <v>212014.12222635164</v>
      </c>
      <c r="AV5" s="42">
        <f>AverageARDays/30*'Monthly Income Statement'!AV8</f>
        <v>221875.90904071036</v>
      </c>
      <c r="AW5" s="42">
        <f>AverageARDays/30*'Monthly Income Statement'!AW8</f>
        <v>232631.0865276579</v>
      </c>
      <c r="AX5" s="42">
        <f>AverageARDays/30*'Monthly Income Statement'!AX8</f>
        <v>244340.29859696055</v>
      </c>
      <c r="AY5" s="42">
        <f>AverageARDays/30*'Monthly Income Statement'!AY8</f>
        <v>257190.26937473539</v>
      </c>
      <c r="AZ5" s="42">
        <f>AverageARDays/30*'Monthly Income Statement'!AZ8</f>
        <v>271249.17996065778</v>
      </c>
      <c r="BA5" s="42">
        <f>AverageARDays/30*'Monthly Income Statement'!BA8</f>
        <v>286586.53336628835</v>
      </c>
      <c r="BB5" s="42">
        <f>AverageARDays/30*'Monthly Income Statement'!BB8</f>
        <v>303568.87655419251</v>
      </c>
      <c r="BC5" s="42">
        <f>AverageARDays/30*'Monthly Income Statement'!BC8</f>
        <v>322245.56607827614</v>
      </c>
      <c r="BD5" s="42">
        <f>AverageARDays/30*'Monthly Income Statement'!BD8</f>
        <v>342805.83966943144</v>
      </c>
      <c r="BE5" s="42">
        <f>AverageARDays/30*'Monthly Income Statement'!BE8</f>
        <v>365506.97432745976</v>
      </c>
      <c r="BF5" s="42">
        <f>AverageARDays/30*'Monthly Income Statement'!BF8</f>
        <v>390589.03171099204</v>
      </c>
      <c r="BG5" s="42">
        <f>AverageARDays/30*'Monthly Income Statement'!BG8</f>
        <v>418297.38149260532</v>
      </c>
      <c r="BH5" s="42">
        <f>AverageARDays/30*'Monthly Income Statement'!BH8</f>
        <v>448923.10993806238</v>
      </c>
      <c r="BI5" s="42">
        <f>AverageARDays/30*'Monthly Income Statement'!BI8</f>
        <v>482803.55850932305</v>
      </c>
      <c r="BJ5" s="42">
        <f>AverageARDays/30*'Monthly Income Statement'!BJ8</f>
        <v>520366.4924084181</v>
      </c>
    </row>
    <row r="6" spans="1:62" x14ac:dyDescent="0.2">
      <c r="A6" s="37" t="s">
        <v>101</v>
      </c>
      <c r="C6" s="78">
        <v>3452</v>
      </c>
      <c r="D6" s="78">
        <v>3976</v>
      </c>
      <c r="E6" s="78">
        <v>4452</v>
      </c>
      <c r="F6" s="78">
        <v>4871</v>
      </c>
      <c r="G6" s="78">
        <v>18735</v>
      </c>
      <c r="H6" s="1">
        <f>InventoryDaysOnHand/30*'Monthly Income Statement'!H8*(1-SubscriptionMargin)</f>
        <v>20707.768880667601</v>
      </c>
      <c r="I6" s="1">
        <f>InventoryDaysOnHand/30*'Monthly Income Statement'!I8*(1-SubscriptionMargin)</f>
        <v>24395.934330589749</v>
      </c>
      <c r="J6" s="1">
        <f>InventoryDaysOnHand/30*'Monthly Income Statement'!J8*(1-SubscriptionMargin)</f>
        <v>27990.224634153787</v>
      </c>
      <c r="K6" s="1">
        <f>InventoryDaysOnHand/30*'Monthly Income Statement'!K8*(1-SubscriptionMargin)</f>
        <v>31545.337076952099</v>
      </c>
      <c r="L6" s="1">
        <f>InventoryDaysOnHand/30*'Monthly Income Statement'!L8*(1-SubscriptionMargin)</f>
        <v>34974.80999162951</v>
      </c>
      <c r="M6" s="1">
        <f>InventoryDaysOnHand/30*'Monthly Income Statement'!M8*(1-SubscriptionMargin)</f>
        <v>38339.982249454282</v>
      </c>
      <c r="N6" s="1">
        <f>InventoryDaysOnHand/30*'Monthly Income Statement'!N8*(1-SubscriptionMargin)</f>
        <v>41626.94572377429</v>
      </c>
      <c r="O6" s="1">
        <f>InventoryDaysOnHand/30*'Monthly Income Statement'!O8*(1-SubscriptionMargin)</f>
        <v>44868.600703876698</v>
      </c>
      <c r="P6" s="1">
        <f>InventoryDaysOnHand/30*'Monthly Income Statement'!P8*(1-SubscriptionMargin)</f>
        <v>48032.096603302547</v>
      </c>
      <c r="Q6" s="1">
        <f>InventoryDaysOnHand/30*'Monthly Income Statement'!Q8*(1-SubscriptionMargin)</f>
        <v>51155.250668249042</v>
      </c>
      <c r="R6" s="1">
        <f>InventoryDaysOnHand/30*'Monthly Income Statement'!R8*(1-SubscriptionMargin)</f>
        <v>54194.156418376864</v>
      </c>
      <c r="S6" s="1">
        <f>InventoryDaysOnHand/30*'Monthly Income Statement'!S8*(1-SubscriptionMargin)</f>
        <v>57185.104038974598</v>
      </c>
      <c r="T6" s="1">
        <f>InventoryDaysOnHand/30*'Monthly Income Statement'!T8*(1-SubscriptionMargin)</f>
        <v>60114.463824947001</v>
      </c>
      <c r="U6" s="1">
        <f>InventoryDaysOnHand/30*'Monthly Income Statement'!U8*(1-SubscriptionMargin)</f>
        <v>63029.097247170626</v>
      </c>
      <c r="V6" s="1">
        <f>InventoryDaysOnHand/30*'Monthly Income Statement'!V8*(1-SubscriptionMargin)</f>
        <v>65956.513044585794</v>
      </c>
      <c r="W6" s="1">
        <f>InventoryDaysOnHand/30*'Monthly Income Statement'!W8*(1-SubscriptionMargin)</f>
        <v>68859.783330927035</v>
      </c>
      <c r="X6" s="1">
        <f>InventoryDaysOnHand/30*'Monthly Income Statement'!X8*(1-SubscriptionMargin)</f>
        <v>71557.74189348075</v>
      </c>
      <c r="Y6" s="1">
        <f>InventoryDaysOnHand/30*'Monthly Income Statement'!Y8*(1-SubscriptionMargin)</f>
        <v>74217.08110851422</v>
      </c>
      <c r="Z6" s="1">
        <f>InventoryDaysOnHand/30*'Monthly Income Statement'!Z8*(1-SubscriptionMargin)</f>
        <v>76905.439352513844</v>
      </c>
      <c r="AA6" s="1">
        <f>InventoryDaysOnHand/30*'Monthly Income Statement'!AA8*(1-SubscriptionMargin)</f>
        <v>79557.596253472264</v>
      </c>
      <c r="AB6" s="1">
        <f>InventoryDaysOnHand/30*'Monthly Income Statement'!AB8*(1-SubscriptionMargin)</f>
        <v>82268.803931067814</v>
      </c>
      <c r="AC6" s="1">
        <f>InventoryDaysOnHand/30*'Monthly Income Statement'!AC8*(1-SubscriptionMargin)</f>
        <v>85016.251980227185</v>
      </c>
      <c r="AD6" s="1">
        <f>InventoryDaysOnHand/30*'Monthly Income Statement'!AD8*(1-SubscriptionMargin)</f>
        <v>87784.164460686268</v>
      </c>
      <c r="AE6" s="1">
        <f>InventoryDaysOnHand/30*'Monthly Income Statement'!AE8*(1-SubscriptionMargin)</f>
        <v>90618.85971043157</v>
      </c>
      <c r="AF6" s="1">
        <f>InventoryDaysOnHand/30*'Monthly Income Statement'!AF8*(1-SubscriptionMargin)</f>
        <v>93477.088575856382</v>
      </c>
      <c r="AG6" s="1">
        <f>InventoryDaysOnHand/30*'Monthly Income Statement'!AG8*(1-SubscriptionMargin)</f>
        <v>96454.668374483241</v>
      </c>
      <c r="AH6" s="1">
        <f>InventoryDaysOnHand/30*'Monthly Income Statement'!AH8*(1-SubscriptionMargin)</f>
        <v>99486.895973976993</v>
      </c>
      <c r="AI6" s="1">
        <f>InventoryDaysOnHand/30*'Monthly Income Statement'!AI8*(1-SubscriptionMargin)</f>
        <v>102649.99253029762</v>
      </c>
      <c r="AJ6" s="1">
        <f>InventoryDaysOnHand/30*'Monthly Income Statement'!AJ8*(1-SubscriptionMargin)</f>
        <v>105972.43692440099</v>
      </c>
      <c r="AK6" s="1">
        <f>InventoryDaysOnHand/30*'Monthly Income Statement'!AK8*(1-SubscriptionMargin)</f>
        <v>109384.2029571929</v>
      </c>
      <c r="AL6" s="1">
        <f>InventoryDaysOnHand/30*'Monthly Income Statement'!AL8*(1-SubscriptionMargin)</f>
        <v>113017.32895186792</v>
      </c>
      <c r="AM6" s="1">
        <f>InventoryDaysOnHand/30*'Monthly Income Statement'!AM8*(1-SubscriptionMargin)</f>
        <v>116879.32285487316</v>
      </c>
      <c r="AN6" s="1">
        <f>InventoryDaysOnHand/30*'Monthly Income Statement'!AN8*(1-SubscriptionMargin)</f>
        <v>120923.36284351329</v>
      </c>
      <c r="AO6" s="1">
        <f>InventoryDaysOnHand/30*'Monthly Income Statement'!AO8*(1-SubscriptionMargin)</f>
        <v>125261.73362246144</v>
      </c>
      <c r="AP6" s="1">
        <f>InventoryDaysOnHand/30*'Monthly Income Statement'!AP8*(1-SubscriptionMargin)</f>
        <v>129902.80679428991</v>
      </c>
      <c r="AQ6" s="1">
        <f>InventoryDaysOnHand/30*'Monthly Income Statement'!AQ8*(1-SubscriptionMargin)</f>
        <v>134855.2795586533</v>
      </c>
      <c r="AR6" s="1">
        <f>InventoryDaysOnHand/30*'Monthly Income Statement'!AR8*(1-SubscriptionMargin)</f>
        <v>140239.05276374827</v>
      </c>
      <c r="AS6" s="1">
        <f>InventoryDaysOnHand/30*'Monthly Income Statement'!AS8*(1-SubscriptionMargin)</f>
        <v>145980.89853160188</v>
      </c>
      <c r="AT6" s="1">
        <f>InventoryDaysOnHand/30*'Monthly Income Statement'!AT8*(1-SubscriptionMargin)</f>
        <v>152265.41740947842</v>
      </c>
      <c r="AU6" s="1">
        <f>InventoryDaysOnHand/30*'Monthly Income Statement'!AU8*(1-SubscriptionMargin)</f>
        <v>159010.59166976373</v>
      </c>
      <c r="AV6" s="1">
        <f>InventoryDaysOnHand/30*'Monthly Income Statement'!AV8*(1-SubscriptionMargin)</f>
        <v>166406.93178053276</v>
      </c>
      <c r="AW6" s="1">
        <f>InventoryDaysOnHand/30*'Monthly Income Statement'!AW8*(1-SubscriptionMargin)</f>
        <v>174473.31489574342</v>
      </c>
      <c r="AX6" s="1">
        <f>InventoryDaysOnHand/30*'Monthly Income Statement'!AX8*(1-SubscriptionMargin)</f>
        <v>183255.22394772043</v>
      </c>
      <c r="AY6" s="1">
        <f>InventoryDaysOnHand/30*'Monthly Income Statement'!AY8*(1-SubscriptionMargin)</f>
        <v>192892.70203105154</v>
      </c>
      <c r="AZ6" s="1">
        <f>InventoryDaysOnHand/30*'Monthly Income Statement'!AZ8*(1-SubscriptionMargin)</f>
        <v>203436.88497049332</v>
      </c>
      <c r="BA6" s="1">
        <f>InventoryDaysOnHand/30*'Monthly Income Statement'!BA8*(1-SubscriptionMargin)</f>
        <v>214939.90002471628</v>
      </c>
      <c r="BB6" s="1">
        <f>InventoryDaysOnHand/30*'Monthly Income Statement'!BB8*(1-SubscriptionMargin)</f>
        <v>227676.65741564438</v>
      </c>
      <c r="BC6" s="1">
        <f>InventoryDaysOnHand/30*'Monthly Income Statement'!BC8*(1-SubscriptionMargin)</f>
        <v>241684.17455870711</v>
      </c>
      <c r="BD6" s="1">
        <f>InventoryDaysOnHand/30*'Monthly Income Statement'!BD8*(1-SubscriptionMargin)</f>
        <v>257104.37975207358</v>
      </c>
      <c r="BE6" s="1">
        <f>InventoryDaysOnHand/30*'Monthly Income Statement'!BE8*(1-SubscriptionMargin)</f>
        <v>274130.23074559483</v>
      </c>
      <c r="BF6" s="1">
        <f>InventoryDaysOnHand/30*'Monthly Income Statement'!BF8*(1-SubscriptionMargin)</f>
        <v>292941.77378324402</v>
      </c>
      <c r="BG6" s="1">
        <f>InventoryDaysOnHand/30*'Monthly Income Statement'!BG8*(1-SubscriptionMargin)</f>
        <v>313723.03611945396</v>
      </c>
      <c r="BH6" s="1">
        <f>InventoryDaysOnHand/30*'Monthly Income Statement'!BH8*(1-SubscriptionMargin)</f>
        <v>336692.33245354681</v>
      </c>
      <c r="BI6" s="1">
        <f>InventoryDaysOnHand/30*'Monthly Income Statement'!BI8*(1-SubscriptionMargin)</f>
        <v>362102.66888199229</v>
      </c>
      <c r="BJ6" s="1">
        <f>InventoryDaysOnHand/30*'Monthly Income Statement'!BJ8*(1-SubscriptionMargin)</f>
        <v>390274.86930631357</v>
      </c>
    </row>
    <row r="7" spans="1:62" x14ac:dyDescent="0.2">
      <c r="A7" s="37" t="s">
        <v>102</v>
      </c>
      <c r="C7" s="78"/>
      <c r="D7" s="78"/>
      <c r="E7" s="78"/>
      <c r="F7" s="78"/>
      <c r="G7" s="7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x14ac:dyDescent="0.2">
      <c r="A8" s="37" t="s">
        <v>103</v>
      </c>
      <c r="C8" s="78"/>
      <c r="D8" s="78"/>
      <c r="E8" s="78"/>
      <c r="F8" s="78"/>
      <c r="G8" s="7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s="27" customFormat="1" x14ac:dyDescent="0.2">
      <c r="A9" s="46" t="s">
        <v>104</v>
      </c>
      <c r="C9" s="31">
        <f t="shared" ref="C9:D9" si="0">SUM(C4:C8)</f>
        <v>974403.34207833337</v>
      </c>
      <c r="D9" s="31">
        <f t="shared" si="0"/>
        <v>936242.55163566675</v>
      </c>
      <c r="E9" s="31">
        <f t="shared" ref="E9:H9" si="1">SUM(E4:E8)</f>
        <v>892388.48974880006</v>
      </c>
      <c r="F9" s="31">
        <f t="shared" si="1"/>
        <v>812646.5053202667</v>
      </c>
      <c r="G9" s="31">
        <f t="shared" si="1"/>
        <v>741091.31405093335</v>
      </c>
      <c r="H9" s="31">
        <f t="shared" si="1"/>
        <v>670711.48753223196</v>
      </c>
      <c r="I9" s="31">
        <f t="shared" ref="I9" si="2">SUM(I4:I8)</f>
        <v>598349.40374515986</v>
      </c>
      <c r="J9" s="31">
        <f t="shared" ref="J9" si="3">SUM(J4:J8)</f>
        <v>527344.78453017748</v>
      </c>
      <c r="K9" s="31">
        <f t="shared" ref="K9" si="4">SUM(K4:K8)</f>
        <v>457804.14360516553</v>
      </c>
      <c r="L9" s="31">
        <f t="shared" ref="L9" si="5">SUM(L4:L8)</f>
        <v>389536.86240799661</v>
      </c>
      <c r="M9" s="31">
        <f t="shared" ref="M9" si="6">SUM(M4:M8)</f>
        <v>322650.68528783531</v>
      </c>
      <c r="N9" s="31">
        <f t="shared" ref="N9" si="7">SUM(N4:N8)</f>
        <v>257104.51072261165</v>
      </c>
      <c r="O9" s="31">
        <f t="shared" ref="O9" si="8">SUM(O4:O8)</f>
        <v>2688500.4998409376</v>
      </c>
      <c r="P9" s="31">
        <f t="shared" ref="P9" si="9">SUM(P4:P8)</f>
        <v>2604324.6591180838</v>
      </c>
      <c r="Q9" s="31">
        <f t="shared" ref="Q9" si="10">SUM(Q4:Q8)</f>
        <v>2531538.6632953202</v>
      </c>
      <c r="R9" s="31">
        <f t="shared" ref="R9" si="11">SUM(R4:R8)</f>
        <v>2460039.2969911322</v>
      </c>
      <c r="S9" s="31">
        <f t="shared" ref="S9" si="12">SUM(S4:S8)</f>
        <v>2389897.4563891105</v>
      </c>
      <c r="T9" s="31">
        <f t="shared" ref="T9" si="13">SUM(T4:T8)</f>
        <v>2321058.3924238752</v>
      </c>
      <c r="U9" s="31">
        <f t="shared" ref="U9" si="14">SUM(U4:U8)</f>
        <v>2253618.3818463874</v>
      </c>
      <c r="V9" s="31">
        <f t="shared" ref="V9" si="15">SUM(V4:V8)</f>
        <v>2187643.8295783121</v>
      </c>
      <c r="W9" s="31">
        <f t="shared" ref="W9" si="16">SUM(W4:W8)</f>
        <v>2123068.3103142274</v>
      </c>
      <c r="X9" s="31">
        <f t="shared" ref="X9" si="17">SUM(X4:X8)</f>
        <v>2061435.5297674017</v>
      </c>
      <c r="Y9" s="31">
        <f t="shared" ref="Y9" si="18">SUM(Y4:Y8)</f>
        <v>1984044.5090685359</v>
      </c>
      <c r="Z9" s="31">
        <f t="shared" ref="Z9" si="19">SUM(Z4:Z8)</f>
        <v>1917928.6375440811</v>
      </c>
      <c r="AA9" s="31">
        <f t="shared" ref="AA9" si="20">SUM(AA4:AA8)</f>
        <v>1852952.2071233261</v>
      </c>
      <c r="AB9" s="31">
        <f t="shared" ref="AB9" si="21">SUM(AB4:AB8)</f>
        <v>1789310.6204823623</v>
      </c>
      <c r="AC9" s="31">
        <f t="shared" ref="AC9" si="22">SUM(AC4:AC8)</f>
        <v>1726978.0687396862</v>
      </c>
      <c r="AD9" s="31">
        <f t="shared" ref="AD9" si="23">SUM(AD4:AD8)</f>
        <v>1665930.6897802465</v>
      </c>
      <c r="AE9" s="31">
        <f t="shared" ref="AE9" si="24">SUM(AE4:AE8)</f>
        <v>1606282.4200996677</v>
      </c>
      <c r="AF9" s="31">
        <f t="shared" ref="AF9" si="25">SUM(AF4:AF8)</f>
        <v>1547962.7850179845</v>
      </c>
      <c r="AG9" s="31">
        <f t="shared" ref="AG9" si="26">SUM(AG4:AG8)</f>
        <v>1491199.3118910664</v>
      </c>
      <c r="AH9" s="31">
        <f t="shared" ref="AH9" si="27">SUM(AH4:AH8)</f>
        <v>1435892.4519977674</v>
      </c>
      <c r="AI9" s="31">
        <f t="shared" ref="AI9" si="28">SUM(AI4:AI8)</f>
        <v>1382237.9530579732</v>
      </c>
      <c r="AJ9" s="31">
        <f t="shared" ref="AJ9" si="29">SUM(AJ4:AJ8)</f>
        <v>1330358.8982891093</v>
      </c>
      <c r="AK9" s="31">
        <f t="shared" ref="AK9" si="30">SUM(AK4:AK8)</f>
        <v>1280161.6661101663</v>
      </c>
      <c r="AL9" s="31">
        <f t="shared" ref="AL9" si="31">SUM(AL4:AL8)</f>
        <v>1231984.4160295073</v>
      </c>
      <c r="AM9" s="31">
        <f t="shared" ref="AM9" si="32">SUM(AM4:AM8)</f>
        <v>1185939.3046062354</v>
      </c>
      <c r="AN9" s="31">
        <f t="shared" ref="AN9" si="33">SUM(AN4:AN8)</f>
        <v>1142018.5129438278</v>
      </c>
      <c r="AO9" s="31">
        <f t="shared" ref="AO9" si="34">SUM(AO4:AO8)</f>
        <v>1100553.0168176929</v>
      </c>
      <c r="AP9" s="31">
        <f t="shared" ref="AP9" si="35">SUM(AP4:AP8)</f>
        <v>1061689.9617997694</v>
      </c>
      <c r="AQ9" s="31">
        <f t="shared" ref="AQ9" si="36">SUM(AQ4:AQ8)</f>
        <v>1025580.8078251362</v>
      </c>
      <c r="AR9" s="31">
        <f t="shared" ref="AR9" si="37">SUM(AR4:AR8)</f>
        <v>992629.4971087724</v>
      </c>
      <c r="AS9" s="31">
        <f t="shared" ref="AS9" si="38">SUM(AS4:AS8)</f>
        <v>962858.68133184325</v>
      </c>
      <c r="AT9" s="31">
        <f t="shared" ref="AT9" si="39">SUM(AT4:AT8)</f>
        <v>936839.83667313133</v>
      </c>
      <c r="AU9" s="31">
        <f t="shared" ref="AU9" si="40">SUM(AU4:AU8)</f>
        <v>914619.20460430882</v>
      </c>
      <c r="AV9" s="31">
        <f t="shared" ref="AV9" si="41">SUM(AV4:AV8)</f>
        <v>896828.30915207462</v>
      </c>
      <c r="AW9" s="31">
        <f t="shared" ref="AW9" si="42">SUM(AW4:AW8)</f>
        <v>883792.82846276101</v>
      </c>
      <c r="AX9" s="31">
        <f t="shared" ref="AX9" si="43">SUM(AX4:AX8)</f>
        <v>875905.08382099122</v>
      </c>
      <c r="AY9" s="31">
        <f t="shared" ref="AY9" si="44">SUM(AY4:AY8)</f>
        <v>873790.39288011601</v>
      </c>
      <c r="AZ9" s="31">
        <f t="shared" ref="AZ9" si="45">SUM(AZ4:AZ8)</f>
        <v>877934.03169107065</v>
      </c>
      <c r="BA9" s="31">
        <f t="shared" ref="BA9" si="46">SUM(BA4:BA8)</f>
        <v>888846.20155024203</v>
      </c>
      <c r="BB9" s="31">
        <f t="shared" ref="BB9" si="47">SUM(BB4:BB8)</f>
        <v>907560.25700110488</v>
      </c>
      <c r="BC9" s="31">
        <f t="shared" ref="BC9" si="48">SUM(BC4:BC8)</f>
        <v>934694.17087343754</v>
      </c>
      <c r="BD9" s="31">
        <f t="shared" ref="BD9" si="49">SUM(BD4:BD8)</f>
        <v>971112.69634714222</v>
      </c>
      <c r="BE9" s="31">
        <f t="shared" ref="BE9" si="50">SUM(BE4:BE8)</f>
        <v>1019650.3756751714</v>
      </c>
      <c r="BF9" s="31">
        <f t="shared" ref="BF9" si="51">SUM(BF4:BF8)</f>
        <v>1062715.6860327846</v>
      </c>
      <c r="BG9" s="31">
        <f t="shared" ref="BG9" si="52">SUM(BG4:BG8)</f>
        <v>1128395.6699909933</v>
      </c>
      <c r="BH9" s="31">
        <f t="shared" ref="BH9" si="53">SUM(BH4:BH8)</f>
        <v>1208031.4724495185</v>
      </c>
      <c r="BI9" s="31">
        <f t="shared" ref="BI9" si="54">SUM(BI4:BI8)</f>
        <v>1303134.7157372625</v>
      </c>
      <c r="BJ9" s="31">
        <f t="shared" ref="BJ9" si="55">SUM(BJ4:BJ8)</f>
        <v>1415481.5349268971</v>
      </c>
    </row>
    <row r="10" spans="1:62" x14ac:dyDescent="0.2">
      <c r="C10" s="78"/>
      <c r="D10" s="78"/>
      <c r="E10" s="78"/>
      <c r="F10" s="78"/>
      <c r="G10" s="7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x14ac:dyDescent="0.2">
      <c r="A11" s="39" t="s">
        <v>105</v>
      </c>
      <c r="C11" s="78"/>
      <c r="D11" s="78"/>
      <c r="E11" s="78"/>
      <c r="F11" s="78"/>
      <c r="G11" s="7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x14ac:dyDescent="0.2">
      <c r="A12" s="37" t="s">
        <v>106</v>
      </c>
      <c r="C12" s="78">
        <v>13987</v>
      </c>
      <c r="D12" s="78">
        <v>15347</v>
      </c>
      <c r="E12" s="78">
        <v>38728</v>
      </c>
      <c r="F12" s="78">
        <v>32496</v>
      </c>
      <c r="G12" s="78">
        <v>43291</v>
      </c>
      <c r="H12" s="1">
        <f>AverageAPDays/30*('Monthly Income Statement'!H14+SUM('Monthly Income Statement'!H27:H32))</f>
        <v>53518.296614150153</v>
      </c>
      <c r="I12" s="1">
        <f>AverageAPDays/30*('Monthly Income Statement'!I14+SUM('Monthly Income Statement'!I27:I32))</f>
        <v>60173.26743925015</v>
      </c>
      <c r="J12" s="1">
        <f>AverageAPDays/30*('Monthly Income Statement'!J14+SUM('Monthly Income Statement'!J27:J32))</f>
        <v>66613.364090792151</v>
      </c>
      <c r="K12" s="1">
        <f>AverageAPDays/30*('Monthly Income Statement'!K14+SUM('Monthly Income Statement'!K27:K32))</f>
        <v>72941.214126354898</v>
      </c>
      <c r="L12" s="1">
        <f>AverageAPDays/30*('Monthly Income Statement'!L14+SUM('Monthly Income Statement'!L27:L32))</f>
        <v>78998.372547359875</v>
      </c>
      <c r="M12" s="1">
        <f>AverageAPDays/30*('Monthly Income Statement'!M14+SUM('Monthly Income Statement'!M27:M32))</f>
        <v>84901.104855852376</v>
      </c>
      <c r="N12" s="1">
        <f>AverageAPDays/30*('Monthly Income Statement'!N14+SUM('Monthly Income Statement'!N27:N32))</f>
        <v>90621.33865119268</v>
      </c>
      <c r="O12" s="1">
        <f>AverageAPDays/30*('Monthly Income Statement'!O14+SUM('Monthly Income Statement'!O27:O32))</f>
        <v>108135.05366203297</v>
      </c>
      <c r="P12" s="1">
        <f>AverageAPDays/30*('Monthly Income Statement'!P14+SUM('Monthly Income Statement'!P27:P32))</f>
        <v>103582.83493621805</v>
      </c>
      <c r="Q12" s="1">
        <f>AverageAPDays/30*('Monthly Income Statement'!Q14+SUM('Monthly Income Statement'!Q27:Q32))</f>
        <v>108929.6764449114</v>
      </c>
      <c r="R12" s="1">
        <f>AverageAPDays/30*('Monthly Income Statement'!R14+SUM('Monthly Income Statement'!R27:R32))</f>
        <v>114092.869832442</v>
      </c>
      <c r="S12" s="1">
        <f>AverageAPDays/30*('Monthly Income Statement'!S14+SUM('Monthly Income Statement'!S27:S32))</f>
        <v>119158.44769024098</v>
      </c>
      <c r="T12" s="1">
        <f>AverageAPDays/30*('Monthly Income Statement'!T14+SUM('Monthly Income Statement'!T27:T32))</f>
        <v>124083.53058348599</v>
      </c>
      <c r="U12" s="1">
        <f>AverageAPDays/30*('Monthly Income Statement'!U14+SUM('Monthly Income Statement'!U27:U32))</f>
        <v>128959.44735287459</v>
      </c>
      <c r="V12" s="1">
        <f>AverageAPDays/30*('Monthly Income Statement'!V14+SUM('Monthly Income Statement'!V27:V32))</f>
        <v>133835.75538403622</v>
      </c>
      <c r="W12" s="1">
        <f>AverageAPDays/30*('Monthly Income Statement'!W14+SUM('Monthly Income Statement'!W27:W32))</f>
        <v>138644.3833574318</v>
      </c>
      <c r="X12" s="1">
        <f>AverageAPDays/30*('Monthly Income Statement'!X14+SUM('Monthly Income Statement'!X27:X32))</f>
        <v>155285.89390526325</v>
      </c>
      <c r="Y12" s="1">
        <f>AverageAPDays/30*('Monthly Income Statement'!Y14+SUM('Monthly Income Statement'!Y27:Y32))</f>
        <v>149960.86345675666</v>
      </c>
      <c r="Z12" s="1">
        <f>AverageAPDays/30*('Monthly Income Statement'!Z14+SUM('Monthly Income Statement'!Z27:Z32))</f>
        <v>154692.14559123333</v>
      </c>
      <c r="AA12" s="1">
        <f>AverageAPDays/30*('Monthly Income Statement'!AA14+SUM('Monthly Income Statement'!AA27:AA32))</f>
        <v>159361.1736650308</v>
      </c>
      <c r="AB12" s="1">
        <f>AverageAPDays/30*('Monthly Income Statement'!AB14+SUM('Monthly Income Statement'!AB27:AB32))</f>
        <v>164139.03023195342</v>
      </c>
      <c r="AC12" s="1">
        <f>AverageAPDays/30*('Monthly Income Statement'!AC14+SUM('Monthly Income Statement'!AC27:AC32))</f>
        <v>168986.2850312813</v>
      </c>
      <c r="AD12" s="1">
        <f>AverageAPDays/30*('Monthly Income Statement'!AD14+SUM('Monthly Income Statement'!AD27:AD32))</f>
        <v>173870.04024852</v>
      </c>
      <c r="AE12" s="1">
        <f>AverageAPDays/30*('Monthly Income Statement'!AE14+SUM('Monthly Income Statement'!AE27:AE32))</f>
        <v>178876.58190806449</v>
      </c>
      <c r="AF12" s="1">
        <f>AverageAPDays/30*('Monthly Income Statement'!AF14+SUM('Monthly Income Statement'!AF27:AF32))</f>
        <v>183924.99078381274</v>
      </c>
      <c r="AG12" s="1">
        <f>AverageAPDays/30*('Monthly Income Statement'!AG14+SUM('Monthly Income Statement'!AG27:AG32))</f>
        <v>189193.9196485003</v>
      </c>
      <c r="AH12" s="1">
        <f>AverageAPDays/30*('Monthly Income Statement'!AH14+SUM('Monthly Income Statement'!AH27:AH32))</f>
        <v>194559.0635797978</v>
      </c>
      <c r="AI12" s="1">
        <f>AverageAPDays/30*('Monthly Income Statement'!AI14+SUM('Monthly Income Statement'!AI27:AI32))</f>
        <v>200159.14919921311</v>
      </c>
      <c r="AJ12" s="1">
        <f>AverageAPDays/30*('Monthly Income Statement'!AJ14+SUM('Monthly Income Statement'!AJ27:AJ32))</f>
        <v>206050.3570622961</v>
      </c>
      <c r="AK12" s="1">
        <f>AverageAPDays/30*('Monthly Income Statement'!AK14+SUM('Monthly Income Statement'!AK27:AK32))</f>
        <v>212098.37521419182</v>
      </c>
      <c r="AL12" s="1">
        <f>AverageAPDays/30*('Monthly Income Statement'!AL14+SUM('Monthly Income Statement'!AL27:AL32))</f>
        <v>218546.03972875106</v>
      </c>
      <c r="AM12" s="1">
        <f>AverageAPDays/30*('Monthly Income Statement'!AM14+SUM('Monthly Income Statement'!AM27:AM32))</f>
        <v>225406.99566462997</v>
      </c>
      <c r="AN12" s="1">
        <f>AverageAPDays/30*('Monthly Income Statement'!AN14+SUM('Monthly Income Statement'!AN27:AN32))</f>
        <v>232593.44042174256</v>
      </c>
      <c r="AO12" s="1">
        <f>AverageAPDays/30*('Monthly Income Statement'!AO14+SUM('Monthly Income Statement'!AO27:AO32))</f>
        <v>240307.93226465187</v>
      </c>
      <c r="AP12" s="1">
        <f>AverageAPDays/30*('Monthly Income Statement'!AP14+SUM('Monthly Income Statement'!AP27:AP32))</f>
        <v>248565.6030420168</v>
      </c>
      <c r="AQ12" s="1">
        <f>AverageAPDays/30*('Monthly Income Statement'!AQ14+SUM('Monthly Income Statement'!AQ27:AQ32))</f>
        <v>257382.1526450254</v>
      </c>
      <c r="AR12" s="1">
        <f>AverageAPDays/30*('Monthly Income Statement'!AR14+SUM('Monthly Income Statement'!AR27:AR32))</f>
        <v>266974.20982066094</v>
      </c>
      <c r="AS12" s="1">
        <f>AverageAPDays/30*('Monthly Income Statement'!AS14+SUM('Monthly Income Statement'!AS27:AS32))</f>
        <v>277207.72533652512</v>
      </c>
      <c r="AT12" s="1">
        <f>AverageAPDays/30*('Monthly Income Statement'!AT14+SUM('Monthly Income Statement'!AT27:AT32))</f>
        <v>288419.9815970175</v>
      </c>
      <c r="AU12" s="1">
        <f>AverageAPDays/30*('Monthly Income Statement'!AU14+SUM('Monthly Income Statement'!AU27:AU32))</f>
        <v>300453.78793702018</v>
      </c>
      <c r="AV12" s="1">
        <f>AverageAPDays/30*('Monthly Income Statement'!AV14+SUM('Monthly Income Statement'!AV27:AV32))</f>
        <v>313657.30022148456</v>
      </c>
      <c r="AW12" s="1">
        <f>AverageAPDays/30*('Monthly Income Statement'!AW14+SUM('Monthly Income Statement'!AW27:AW32))</f>
        <v>328064.79934235942</v>
      </c>
      <c r="AX12" s="1">
        <f>AverageAPDays/30*('Monthly Income Statement'!AX14+SUM('Monthly Income Statement'!AX27:AX32))</f>
        <v>343756.8455405914</v>
      </c>
      <c r="AY12" s="1">
        <f>AverageAPDays/30*('Monthly Income Statement'!AY14+SUM('Monthly Income Statement'!AY27:AY32))</f>
        <v>360987.10378329514</v>
      </c>
      <c r="AZ12" s="1">
        <f>AverageAPDays/30*('Monthly Income Statement'!AZ14+SUM('Monthly Income Statement'!AZ27:AZ32))</f>
        <v>379846.45860051736</v>
      </c>
      <c r="BA12" s="1">
        <f>AverageAPDays/30*('Monthly Income Statement'!BA14+SUM('Monthly Income Statement'!BA27:BA32))</f>
        <v>400427.52352013416</v>
      </c>
      <c r="BB12" s="1">
        <f>AverageAPDays/30*('Monthly Income Statement'!BB14+SUM('Monthly Income Statement'!BB27:BB32))</f>
        <v>423228.73816694249</v>
      </c>
      <c r="BC12" s="1">
        <f>AverageAPDays/30*('Monthly Income Statement'!BC14+SUM('Monthly Income Statement'!BC27:BC32))</f>
        <v>448317.50525533129</v>
      </c>
      <c r="BD12" s="1">
        <f>AverageAPDays/30*('Monthly Income Statement'!BD14+SUM('Monthly Income Statement'!BD27:BD32))</f>
        <v>475943.71545254241</v>
      </c>
      <c r="BE12" s="1">
        <f>AverageAPDays/30*('Monthly Income Statement'!BE14+SUM('Monthly Income Statement'!BE27:BE32))</f>
        <v>518365.50757289026</v>
      </c>
      <c r="BF12" s="1">
        <f>AverageAPDays/30*('Monthly Income Statement'!BF14+SUM('Monthly Income Statement'!BF27:BF32))</f>
        <v>542100.23910568946</v>
      </c>
      <c r="BG12" s="1">
        <f>AverageAPDays/30*('Monthly Income Statement'!BG14+SUM('Monthly Income Statement'!BG27:BG32))</f>
        <v>579382.34980925242</v>
      </c>
      <c r="BH12" s="1">
        <f>AverageAPDays/30*('Monthly Income Statement'!BH14+SUM('Monthly Income Statement'!BH27:BH32))</f>
        <v>620606.75132609718</v>
      </c>
      <c r="BI12" s="1">
        <f>AverageAPDays/30*('Monthly Income Statement'!BI14+SUM('Monthly Income Statement'!BI27:BI32))</f>
        <v>666229.53887570254</v>
      </c>
      <c r="BJ12" s="1">
        <f>AverageAPDays/30*('Monthly Income Statement'!BJ14+SUM('Monthly Income Statement'!BJ27:BJ32))</f>
        <v>716836.3979805049</v>
      </c>
    </row>
    <row r="13" spans="1:62" x14ac:dyDescent="0.2">
      <c r="A13" s="37" t="s">
        <v>107</v>
      </c>
      <c r="C13" s="78"/>
      <c r="D13" s="78"/>
      <c r="E13" s="78"/>
      <c r="F13" s="78"/>
      <c r="G13" s="7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">
      <c r="A14" s="37" t="s">
        <v>108</v>
      </c>
      <c r="C14" s="78"/>
      <c r="D14" s="78"/>
      <c r="E14" s="78"/>
      <c r="F14" s="78"/>
      <c r="G14" s="7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s="7" customFormat="1" x14ac:dyDescent="0.2">
      <c r="A15" s="43" t="s">
        <v>109</v>
      </c>
      <c r="C15" s="81">
        <f t="shared" ref="C15:H15" si="56">SUM(C12:C14)</f>
        <v>13987</v>
      </c>
      <c r="D15" s="81">
        <f t="shared" si="56"/>
        <v>15347</v>
      </c>
      <c r="E15" s="81">
        <f t="shared" si="56"/>
        <v>38728</v>
      </c>
      <c r="F15" s="81">
        <f t="shared" si="56"/>
        <v>32496</v>
      </c>
      <c r="G15" s="81">
        <f t="shared" si="56"/>
        <v>43291</v>
      </c>
      <c r="H15" s="2">
        <f t="shared" si="56"/>
        <v>53518.296614150153</v>
      </c>
      <c r="I15" s="2">
        <f t="shared" ref="I15" si="57">SUM(I12:I14)</f>
        <v>60173.26743925015</v>
      </c>
      <c r="J15" s="2">
        <f t="shared" ref="J15" si="58">SUM(J12:J14)</f>
        <v>66613.364090792151</v>
      </c>
      <c r="K15" s="2">
        <f t="shared" ref="K15" si="59">SUM(K12:K14)</f>
        <v>72941.214126354898</v>
      </c>
      <c r="L15" s="2">
        <f t="shared" ref="L15" si="60">SUM(L12:L14)</f>
        <v>78998.372547359875</v>
      </c>
      <c r="M15" s="2">
        <f t="shared" ref="M15" si="61">SUM(M12:M14)</f>
        <v>84901.104855852376</v>
      </c>
      <c r="N15" s="2">
        <f t="shared" ref="N15" si="62">SUM(N12:N14)</f>
        <v>90621.33865119268</v>
      </c>
      <c r="O15" s="2">
        <f t="shared" ref="O15" si="63">SUM(O12:O14)</f>
        <v>108135.05366203297</v>
      </c>
      <c r="P15" s="2">
        <f t="shared" ref="P15" si="64">SUM(P12:P14)</f>
        <v>103582.83493621805</v>
      </c>
      <c r="Q15" s="2">
        <f t="shared" ref="Q15" si="65">SUM(Q12:Q14)</f>
        <v>108929.6764449114</v>
      </c>
      <c r="R15" s="2">
        <f t="shared" ref="R15" si="66">SUM(R12:R14)</f>
        <v>114092.869832442</v>
      </c>
      <c r="S15" s="2">
        <f t="shared" ref="S15" si="67">SUM(S12:S14)</f>
        <v>119158.44769024098</v>
      </c>
      <c r="T15" s="2">
        <f t="shared" ref="T15" si="68">SUM(T12:T14)</f>
        <v>124083.53058348599</v>
      </c>
      <c r="U15" s="2">
        <f t="shared" ref="U15" si="69">SUM(U12:U14)</f>
        <v>128959.44735287459</v>
      </c>
      <c r="V15" s="2">
        <f t="shared" ref="V15" si="70">SUM(V12:V14)</f>
        <v>133835.75538403622</v>
      </c>
      <c r="W15" s="2">
        <f t="shared" ref="W15" si="71">SUM(W12:W14)</f>
        <v>138644.3833574318</v>
      </c>
      <c r="X15" s="2">
        <f t="shared" ref="X15" si="72">SUM(X12:X14)</f>
        <v>155285.89390526325</v>
      </c>
      <c r="Y15" s="2">
        <f t="shared" ref="Y15" si="73">SUM(Y12:Y14)</f>
        <v>149960.86345675666</v>
      </c>
      <c r="Z15" s="2">
        <f t="shared" ref="Z15" si="74">SUM(Z12:Z14)</f>
        <v>154692.14559123333</v>
      </c>
      <c r="AA15" s="2">
        <f t="shared" ref="AA15" si="75">SUM(AA12:AA14)</f>
        <v>159361.1736650308</v>
      </c>
      <c r="AB15" s="2">
        <f t="shared" ref="AB15" si="76">SUM(AB12:AB14)</f>
        <v>164139.03023195342</v>
      </c>
      <c r="AC15" s="2">
        <f t="shared" ref="AC15" si="77">SUM(AC12:AC14)</f>
        <v>168986.2850312813</v>
      </c>
      <c r="AD15" s="2">
        <f t="shared" ref="AD15" si="78">SUM(AD12:AD14)</f>
        <v>173870.04024852</v>
      </c>
      <c r="AE15" s="2">
        <f t="shared" ref="AE15" si="79">SUM(AE12:AE14)</f>
        <v>178876.58190806449</v>
      </c>
      <c r="AF15" s="2">
        <f t="shared" ref="AF15" si="80">SUM(AF12:AF14)</f>
        <v>183924.99078381274</v>
      </c>
      <c r="AG15" s="2">
        <f t="shared" ref="AG15" si="81">SUM(AG12:AG14)</f>
        <v>189193.9196485003</v>
      </c>
      <c r="AH15" s="2">
        <f t="shared" ref="AH15" si="82">SUM(AH12:AH14)</f>
        <v>194559.0635797978</v>
      </c>
      <c r="AI15" s="2">
        <f t="shared" ref="AI15" si="83">SUM(AI12:AI14)</f>
        <v>200159.14919921311</v>
      </c>
      <c r="AJ15" s="2">
        <f t="shared" ref="AJ15" si="84">SUM(AJ12:AJ14)</f>
        <v>206050.3570622961</v>
      </c>
      <c r="AK15" s="2">
        <f t="shared" ref="AK15" si="85">SUM(AK12:AK14)</f>
        <v>212098.37521419182</v>
      </c>
      <c r="AL15" s="2">
        <f t="shared" ref="AL15" si="86">SUM(AL12:AL14)</f>
        <v>218546.03972875106</v>
      </c>
      <c r="AM15" s="2">
        <f t="shared" ref="AM15" si="87">SUM(AM12:AM14)</f>
        <v>225406.99566462997</v>
      </c>
      <c r="AN15" s="2">
        <f t="shared" ref="AN15" si="88">SUM(AN12:AN14)</f>
        <v>232593.44042174256</v>
      </c>
      <c r="AO15" s="2">
        <f t="shared" ref="AO15" si="89">SUM(AO12:AO14)</f>
        <v>240307.93226465187</v>
      </c>
      <c r="AP15" s="2">
        <f t="shared" ref="AP15" si="90">SUM(AP12:AP14)</f>
        <v>248565.6030420168</v>
      </c>
      <c r="AQ15" s="2">
        <f t="shared" ref="AQ15" si="91">SUM(AQ12:AQ14)</f>
        <v>257382.1526450254</v>
      </c>
      <c r="AR15" s="2">
        <f t="shared" ref="AR15" si="92">SUM(AR12:AR14)</f>
        <v>266974.20982066094</v>
      </c>
      <c r="AS15" s="2">
        <f t="shared" ref="AS15" si="93">SUM(AS12:AS14)</f>
        <v>277207.72533652512</v>
      </c>
      <c r="AT15" s="2">
        <f t="shared" ref="AT15" si="94">SUM(AT12:AT14)</f>
        <v>288419.9815970175</v>
      </c>
      <c r="AU15" s="2">
        <f t="shared" ref="AU15" si="95">SUM(AU12:AU14)</f>
        <v>300453.78793702018</v>
      </c>
      <c r="AV15" s="2">
        <f t="shared" ref="AV15" si="96">SUM(AV12:AV14)</f>
        <v>313657.30022148456</v>
      </c>
      <c r="AW15" s="2">
        <f t="shared" ref="AW15" si="97">SUM(AW12:AW14)</f>
        <v>328064.79934235942</v>
      </c>
      <c r="AX15" s="2">
        <f t="shared" ref="AX15" si="98">SUM(AX12:AX14)</f>
        <v>343756.8455405914</v>
      </c>
      <c r="AY15" s="2">
        <f t="shared" ref="AY15" si="99">SUM(AY12:AY14)</f>
        <v>360987.10378329514</v>
      </c>
      <c r="AZ15" s="2">
        <f t="shared" ref="AZ15" si="100">SUM(AZ12:AZ14)</f>
        <v>379846.45860051736</v>
      </c>
      <c r="BA15" s="2">
        <f t="shared" ref="BA15" si="101">SUM(BA12:BA14)</f>
        <v>400427.52352013416</v>
      </c>
      <c r="BB15" s="2">
        <f t="shared" ref="BB15" si="102">SUM(BB12:BB14)</f>
        <v>423228.73816694249</v>
      </c>
      <c r="BC15" s="2">
        <f t="shared" ref="BC15" si="103">SUM(BC12:BC14)</f>
        <v>448317.50525533129</v>
      </c>
      <c r="BD15" s="2">
        <f t="shared" ref="BD15" si="104">SUM(BD12:BD14)</f>
        <v>475943.71545254241</v>
      </c>
      <c r="BE15" s="2">
        <f t="shared" ref="BE15" si="105">SUM(BE12:BE14)</f>
        <v>518365.50757289026</v>
      </c>
      <c r="BF15" s="2">
        <f t="shared" ref="BF15" si="106">SUM(BF12:BF14)</f>
        <v>542100.23910568946</v>
      </c>
      <c r="BG15" s="2">
        <f t="shared" ref="BG15" si="107">SUM(BG12:BG14)</f>
        <v>579382.34980925242</v>
      </c>
      <c r="BH15" s="2">
        <f t="shared" ref="BH15" si="108">SUM(BH12:BH14)</f>
        <v>620606.75132609718</v>
      </c>
      <c r="BI15" s="2">
        <f t="shared" ref="BI15" si="109">SUM(BI12:BI14)</f>
        <v>666229.53887570254</v>
      </c>
      <c r="BJ15" s="2">
        <f t="shared" ref="BJ15" si="110">SUM(BJ12:BJ14)</f>
        <v>716836.3979805049</v>
      </c>
    </row>
    <row r="16" spans="1:62" x14ac:dyDescent="0.2">
      <c r="C16" s="78"/>
      <c r="D16" s="78"/>
      <c r="E16" s="78"/>
      <c r="F16" s="78"/>
      <c r="G16" s="7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x14ac:dyDescent="0.2">
      <c r="A17" s="39" t="s">
        <v>110</v>
      </c>
      <c r="C17" s="78"/>
      <c r="D17" s="78"/>
      <c r="E17" s="78"/>
      <c r="F17" s="78"/>
      <c r="G17" s="7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x14ac:dyDescent="0.2">
      <c r="A18" s="37" t="s">
        <v>111</v>
      </c>
      <c r="C18" s="78">
        <f>B18+'Monthly Income Statement'!C39</f>
        <v>1000000</v>
      </c>
      <c r="D18" s="78">
        <f>C18+'Monthly Income Statement'!D39</f>
        <v>1000000</v>
      </c>
      <c r="E18" s="78">
        <f>D18+'Monthly Income Statement'!E39</f>
        <v>1000000</v>
      </c>
      <c r="F18" s="78">
        <f>E18+'Monthly Income Statement'!F39</f>
        <v>1000000</v>
      </c>
      <c r="G18" s="78">
        <f>F18+'Monthly Income Statement'!G39</f>
        <v>1000000</v>
      </c>
      <c r="H18" s="1">
        <f>G18+'Monthly Income Statement'!H39</f>
        <v>1000000</v>
      </c>
      <c r="I18" s="1">
        <f>H18+'Monthly Income Statement'!I39</f>
        <v>1000000</v>
      </c>
      <c r="J18" s="1">
        <f>I18+'Monthly Income Statement'!J39</f>
        <v>1000000</v>
      </c>
      <c r="K18" s="1">
        <f>J18+'Monthly Income Statement'!K39</f>
        <v>1000000</v>
      </c>
      <c r="L18" s="1">
        <f>K18+'Monthly Income Statement'!L39</f>
        <v>1000000</v>
      </c>
      <c r="M18" s="1">
        <f>L18+'Monthly Income Statement'!M39</f>
        <v>1000000</v>
      </c>
      <c r="N18" s="1">
        <f>M18+'Monthly Income Statement'!N39</f>
        <v>1000000</v>
      </c>
      <c r="O18" s="1">
        <f>N18+'Monthly Income Statement'!O39</f>
        <v>3500000</v>
      </c>
      <c r="P18" s="1">
        <f>O18+'Monthly Income Statement'!P39</f>
        <v>3500000</v>
      </c>
      <c r="Q18" s="1">
        <f>P18+'Monthly Income Statement'!Q39</f>
        <v>3500000</v>
      </c>
      <c r="R18" s="1">
        <f>Q18+'Monthly Income Statement'!R39</f>
        <v>3500000</v>
      </c>
      <c r="S18" s="1">
        <f>R18+'Monthly Income Statement'!S39</f>
        <v>3500000</v>
      </c>
      <c r="T18" s="1">
        <f>S18+'Monthly Income Statement'!T39</f>
        <v>3500000</v>
      </c>
      <c r="U18" s="1">
        <f>T18+'Monthly Income Statement'!U39</f>
        <v>3500000</v>
      </c>
      <c r="V18" s="1">
        <f>U18+'Monthly Income Statement'!V39</f>
        <v>3500000</v>
      </c>
      <c r="W18" s="1">
        <f>V18+'Monthly Income Statement'!W39</f>
        <v>3500000</v>
      </c>
      <c r="X18" s="1">
        <f>W18+'Monthly Income Statement'!X39</f>
        <v>3500000</v>
      </c>
      <c r="Y18" s="1">
        <f>X18+'Monthly Income Statement'!Y39</f>
        <v>3500000</v>
      </c>
      <c r="Z18" s="1">
        <f>Y18+'Monthly Income Statement'!Z39</f>
        <v>3500000</v>
      </c>
      <c r="AA18" s="1">
        <f>Z18+'Monthly Income Statement'!AA39</f>
        <v>3500000</v>
      </c>
      <c r="AB18" s="1">
        <f>AA18+'Monthly Income Statement'!AB39</f>
        <v>3500000</v>
      </c>
      <c r="AC18" s="1">
        <f>AB18+'Monthly Income Statement'!AC39</f>
        <v>3500000</v>
      </c>
      <c r="AD18" s="1">
        <f>AC18+'Monthly Income Statement'!AD39</f>
        <v>3500000</v>
      </c>
      <c r="AE18" s="1">
        <f>AD18+'Monthly Income Statement'!AE39</f>
        <v>3500000</v>
      </c>
      <c r="AF18" s="1">
        <f>AE18+'Monthly Income Statement'!AF39</f>
        <v>3500000</v>
      </c>
      <c r="AG18" s="1">
        <f>AF18+'Monthly Income Statement'!AG39</f>
        <v>3500000</v>
      </c>
      <c r="AH18" s="1">
        <f>AG18+'Monthly Income Statement'!AH39</f>
        <v>3500000</v>
      </c>
      <c r="AI18" s="1">
        <f>AH18+'Monthly Income Statement'!AI39</f>
        <v>3500000</v>
      </c>
      <c r="AJ18" s="1">
        <f>AI18+'Monthly Income Statement'!AJ39</f>
        <v>3500000</v>
      </c>
      <c r="AK18" s="1">
        <f>AJ18+'Monthly Income Statement'!AK39</f>
        <v>3500000</v>
      </c>
      <c r="AL18" s="1">
        <f>AK18+'Monthly Income Statement'!AL39</f>
        <v>3500000</v>
      </c>
      <c r="AM18" s="1">
        <f>AL18+'Monthly Income Statement'!AM39</f>
        <v>3500000</v>
      </c>
      <c r="AN18" s="1">
        <f>AM18+'Monthly Income Statement'!AN39</f>
        <v>3500000</v>
      </c>
      <c r="AO18" s="1">
        <f>AN18+'Monthly Income Statement'!AO39</f>
        <v>3500000</v>
      </c>
      <c r="AP18" s="1">
        <f>AO18+'Monthly Income Statement'!AP39</f>
        <v>3500000</v>
      </c>
      <c r="AQ18" s="1">
        <f>AP18+'Monthly Income Statement'!AQ39</f>
        <v>3500000</v>
      </c>
      <c r="AR18" s="1">
        <f>AQ18+'Monthly Income Statement'!AR39</f>
        <v>3500000</v>
      </c>
      <c r="AS18" s="1">
        <f>AR18+'Monthly Income Statement'!AS39</f>
        <v>3500000</v>
      </c>
      <c r="AT18" s="1">
        <f>AS18+'Monthly Income Statement'!AT39</f>
        <v>3500000</v>
      </c>
      <c r="AU18" s="1">
        <f>AT18+'Monthly Income Statement'!AU39</f>
        <v>3500000</v>
      </c>
      <c r="AV18" s="1">
        <f>AU18+'Monthly Income Statement'!AV39</f>
        <v>3500000</v>
      </c>
      <c r="AW18" s="1">
        <f>AV18+'Monthly Income Statement'!AW39</f>
        <v>3500000</v>
      </c>
      <c r="AX18" s="1">
        <f>AW18+'Monthly Income Statement'!AX39</f>
        <v>3500000</v>
      </c>
      <c r="AY18" s="1">
        <f>AX18+'Monthly Income Statement'!AY39</f>
        <v>3500000</v>
      </c>
      <c r="AZ18" s="1">
        <f>AY18+'Monthly Income Statement'!AZ39</f>
        <v>3500000</v>
      </c>
      <c r="BA18" s="1">
        <f>AZ18+'Monthly Income Statement'!BA39</f>
        <v>3500000</v>
      </c>
      <c r="BB18" s="1">
        <f>BA18+'Monthly Income Statement'!BB39</f>
        <v>3500000</v>
      </c>
      <c r="BC18" s="1">
        <f>BB18+'Monthly Income Statement'!BC39</f>
        <v>3500000</v>
      </c>
      <c r="BD18" s="1">
        <f>BC18+'Monthly Income Statement'!BD39</f>
        <v>3500000</v>
      </c>
      <c r="BE18" s="1">
        <f>BD18+'Monthly Income Statement'!BE39</f>
        <v>3500000</v>
      </c>
      <c r="BF18" s="1">
        <f>BE18+'Monthly Income Statement'!BF39</f>
        <v>3500000</v>
      </c>
      <c r="BG18" s="1">
        <f>BF18+'Monthly Income Statement'!BG39</f>
        <v>3500000</v>
      </c>
      <c r="BH18" s="1">
        <f>BG18+'Monthly Income Statement'!BH39</f>
        <v>3500000</v>
      </c>
      <c r="BI18" s="1">
        <f>BH18+'Monthly Income Statement'!BI39</f>
        <v>3500000</v>
      </c>
      <c r="BJ18" s="1">
        <f>BI18+'Monthly Income Statement'!BJ39</f>
        <v>3500000</v>
      </c>
    </row>
    <row r="19" spans="1:62" x14ac:dyDescent="0.2">
      <c r="A19" s="37" t="s">
        <v>112</v>
      </c>
      <c r="C19" s="78">
        <v>-39583.657921666672</v>
      </c>
      <c r="D19" s="78">
        <v>-79104.448364333337</v>
      </c>
      <c r="E19" s="78">
        <v>-146339.5102512</v>
      </c>
      <c r="F19" s="78">
        <v>-219849.49467973335</v>
      </c>
      <c r="G19" s="78">
        <v>-302199.68594906671</v>
      </c>
      <c r="H19" s="1">
        <f>G19+'Monthly Income Statement'!H35</f>
        <v>-382806.80908191833</v>
      </c>
      <c r="I19" s="1">
        <f>H19+'Monthly Income Statement'!I35</f>
        <v>-461823.8636940904</v>
      </c>
      <c r="J19" s="1">
        <f>I19+'Monthly Income Statement'!J35</f>
        <v>-539268.57956061477</v>
      </c>
      <c r="K19" s="1">
        <f>J19+'Monthly Income Statement'!K35</f>
        <v>-615137.07052118948</v>
      </c>
      <c r="L19" s="1">
        <f>K19+'Monthly Income Statement'!L35</f>
        <v>-689461.51013936335</v>
      </c>
      <c r="M19" s="1">
        <f>L19+'Monthly Income Statement'!M35</f>
        <v>-762250.41956801713</v>
      </c>
      <c r="N19" s="1">
        <f>M19+'Monthly Income Statement'!N35</f>
        <v>-833516.82792858104</v>
      </c>
      <c r="O19" s="1">
        <f>N19+'Monthly Income Statement'!O35</f>
        <v>-919634.55382109527</v>
      </c>
      <c r="P19" s="1">
        <f>O19+'Monthly Income Statement'!P35</f>
        <v>-999258.17581813422</v>
      </c>
      <c r="Q19" s="1">
        <f>P19+'Monthly Income Statement'!Q35</f>
        <v>-1077391.0131495912</v>
      </c>
      <c r="R19" s="1">
        <f>Q19+'Monthly Income Statement'!R35</f>
        <v>-1154053.5728413097</v>
      </c>
      <c r="S19" s="1">
        <f>R19+'Monthly Income Statement'!S35</f>
        <v>-1229260.9913011307</v>
      </c>
      <c r="T19" s="1">
        <f>S19+'Monthly Income Statement'!T35</f>
        <v>-1303025.138159611</v>
      </c>
      <c r="U19" s="1">
        <f>T19+'Monthly Income Statement'!U35</f>
        <v>-1375341.0655064874</v>
      </c>
      <c r="V19" s="1">
        <f>U19+'Monthly Income Statement'!V35</f>
        <v>-1446191.9258057245</v>
      </c>
      <c r="W19" s="1">
        <f>V19+'Monthly Income Statement'!W35</f>
        <v>-1515576.0730432044</v>
      </c>
      <c r="X19" s="1">
        <f>W19+'Monthly Income Statement'!X35</f>
        <v>-1593850.3641378616</v>
      </c>
      <c r="Y19" s="1">
        <f>X19+'Monthly Income Statement'!Y35</f>
        <v>-1665916.3543882209</v>
      </c>
      <c r="Z19" s="1">
        <f>Y19+'Monthly Income Statement'!Z35</f>
        <v>-1736763.5080471525</v>
      </c>
      <c r="AA19" s="1">
        <f>Z19+'Monthly Income Statement'!AA35</f>
        <v>-1806408.966541705</v>
      </c>
      <c r="AB19" s="1">
        <f>AA19+'Monthly Income Statement'!AB35</f>
        <v>-1874828.4097495913</v>
      </c>
      <c r="AC19" s="1">
        <f>AB19+'Monthly Income Statement'!AC35</f>
        <v>-1942008.2162915957</v>
      </c>
      <c r="AD19" s="1">
        <f>AC19+'Monthly Income Statement'!AD35</f>
        <v>-2007939.350468274</v>
      </c>
      <c r="AE19" s="1">
        <f>AD19+'Monthly Income Statement'!AE35</f>
        <v>-2072594.1618083974</v>
      </c>
      <c r="AF19" s="1">
        <f>AE19+'Monthly Income Statement'!AF35</f>
        <v>-2135962.2057658285</v>
      </c>
      <c r="AG19" s="1">
        <f>AF19+'Monthly Income Statement'!AG35</f>
        <v>-2197994.6077574342</v>
      </c>
      <c r="AH19" s="1">
        <f>AG19+'Monthly Income Statement'!AH35</f>
        <v>-2258666.6115820305</v>
      </c>
      <c r="AI19" s="1">
        <f>AH19+'Monthly Income Statement'!AI35</f>
        <v>-2317921.1961412402</v>
      </c>
      <c r="AJ19" s="1">
        <f>AI19+'Monthly Income Statement'!AJ35</f>
        <v>-2375691.4587731869</v>
      </c>
      <c r="AK19" s="1">
        <f>AJ19+'Monthly Income Statement'!AK35</f>
        <v>-2431936.7091040257</v>
      </c>
      <c r="AL19" s="1">
        <f>AK19+'Monthly Income Statement'!AL35</f>
        <v>-2486561.6236992441</v>
      </c>
      <c r="AM19" s="1">
        <f>AL19+'Monthly Income Statement'!AM35</f>
        <v>-2539467.691058395</v>
      </c>
      <c r="AN19" s="1">
        <f>AM19+'Monthly Income Statement'!AN35</f>
        <v>-2590574.9274779153</v>
      </c>
      <c r="AO19" s="1">
        <f>AN19+'Monthly Income Statement'!AO35</f>
        <v>-2639754.9154469594</v>
      </c>
      <c r="AP19" s="1">
        <f>AO19+'Monthly Income Statement'!AP35</f>
        <v>-2686875.641242248</v>
      </c>
      <c r="AQ19" s="1">
        <f>AP19+'Monthly Income Statement'!AQ35</f>
        <v>-2731801.3448198894</v>
      </c>
      <c r="AR19" s="1">
        <f>AQ19+'Monthly Income Statement'!AR35</f>
        <v>-2774344.7127118888</v>
      </c>
      <c r="AS19" s="1">
        <f>AR19+'Monthly Income Statement'!AS35</f>
        <v>-2814349.044004682</v>
      </c>
      <c r="AT19" s="1">
        <f>AS19+'Monthly Income Statement'!AT35</f>
        <v>-2851580.1449238863</v>
      </c>
      <c r="AU19" s="1">
        <f>AT19+'Monthly Income Statement'!AU35</f>
        <v>-2885834.5833327114</v>
      </c>
      <c r="AV19" s="1">
        <f>AU19+'Monthly Income Statement'!AV35</f>
        <v>-2916828.99106941</v>
      </c>
      <c r="AW19" s="1">
        <f>AV19+'Monthly Income Statement'!AW35</f>
        <v>-2944271.9708795985</v>
      </c>
      <c r="AX19" s="1">
        <f>AW19+'Monthly Income Statement'!AX35</f>
        <v>-2967851.7617196003</v>
      </c>
      <c r="AY19" s="1">
        <f>AX19+'Monthly Income Statement'!AY35</f>
        <v>-2987196.7109031794</v>
      </c>
      <c r="AZ19" s="1">
        <f>AY19+'Monthly Income Statement'!AZ35</f>
        <v>-3001912.4269094467</v>
      </c>
      <c r="BA19" s="1">
        <f>AZ19+'Monthly Income Statement'!BA35</f>
        <v>-3011581.3219698919</v>
      </c>
      <c r="BB19" s="1">
        <f>BA19+'Monthly Income Statement'!BB35</f>
        <v>-3015668.4811658375</v>
      </c>
      <c r="BC19" s="1">
        <f>BB19+'Monthly Income Statement'!BC35</f>
        <v>-3013623.3343818937</v>
      </c>
      <c r="BD19" s="1">
        <f>BC19+'Monthly Income Statement'!BD35</f>
        <v>-3004831.0191054</v>
      </c>
      <c r="BE19" s="1">
        <f>BD19+'Monthly Income Statement'!BE35</f>
        <v>-2998715.1318977186</v>
      </c>
      <c r="BF19" s="1">
        <f>BE19+'Monthly Income Statement'!BF35</f>
        <v>-2979384.5530729047</v>
      </c>
      <c r="BG19" s="1">
        <f>BF19+'Monthly Income Statement'!BG35</f>
        <v>-2950986.6798182591</v>
      </c>
      <c r="BH19" s="1">
        <f>BG19+'Monthly Income Statement'!BH35</f>
        <v>-2912575.2788765784</v>
      </c>
      <c r="BI19" s="1">
        <f>BH19+'Monthly Income Statement'!BI35</f>
        <v>-2863094.82313844</v>
      </c>
      <c r="BJ19" s="1">
        <f>BI19+'Monthly Income Statement'!BJ35</f>
        <v>-2801354.8630536078</v>
      </c>
    </row>
    <row r="20" spans="1:62" s="7" customFormat="1" x14ac:dyDescent="0.2">
      <c r="A20" s="43" t="s">
        <v>113</v>
      </c>
      <c r="C20" s="81">
        <f t="shared" ref="C20:D20" si="111">SUM(C18:C19)</f>
        <v>960416.34207833337</v>
      </c>
      <c r="D20" s="81">
        <f t="shared" si="111"/>
        <v>920895.55163566663</v>
      </c>
      <c r="E20" s="81">
        <f t="shared" ref="E20:H20" si="112">SUM(E18:E19)</f>
        <v>853660.48974879994</v>
      </c>
      <c r="F20" s="81">
        <f t="shared" si="112"/>
        <v>780150.50532026659</v>
      </c>
      <c r="G20" s="81">
        <f t="shared" si="112"/>
        <v>697800.31405093335</v>
      </c>
      <c r="H20" s="2">
        <f t="shared" si="112"/>
        <v>617193.19091808167</v>
      </c>
      <c r="I20" s="2">
        <f t="shared" ref="I20" si="113">SUM(I18:I19)</f>
        <v>538176.1363059096</v>
      </c>
      <c r="J20" s="2">
        <f t="shared" ref="J20" si="114">SUM(J18:J19)</f>
        <v>460731.42043938523</v>
      </c>
      <c r="K20" s="2">
        <f t="shared" ref="K20" si="115">SUM(K18:K19)</f>
        <v>384862.92947881052</v>
      </c>
      <c r="L20" s="2">
        <f t="shared" ref="L20" si="116">SUM(L18:L19)</f>
        <v>310538.48986063665</v>
      </c>
      <c r="M20" s="2">
        <f t="shared" ref="M20" si="117">SUM(M18:M19)</f>
        <v>237749.58043198287</v>
      </c>
      <c r="N20" s="2">
        <f t="shared" ref="N20" si="118">SUM(N18:N19)</f>
        <v>166483.17207141896</v>
      </c>
      <c r="O20" s="2">
        <f t="shared" ref="O20" si="119">SUM(O18:O19)</f>
        <v>2580365.4461789047</v>
      </c>
      <c r="P20" s="2">
        <f t="shared" ref="P20" si="120">SUM(P18:P19)</f>
        <v>2500741.8241818659</v>
      </c>
      <c r="Q20" s="2">
        <f t="shared" ref="Q20" si="121">SUM(Q18:Q19)</f>
        <v>2422608.9868504088</v>
      </c>
      <c r="R20" s="2">
        <f t="shared" ref="R20" si="122">SUM(R18:R19)</f>
        <v>2345946.4271586901</v>
      </c>
      <c r="S20" s="2">
        <f t="shared" ref="S20" si="123">SUM(S18:S19)</f>
        <v>2270739.0086988695</v>
      </c>
      <c r="T20" s="2">
        <f t="shared" ref="T20" si="124">SUM(T18:T19)</f>
        <v>2196974.8618403887</v>
      </c>
      <c r="U20" s="2">
        <f t="shared" ref="U20" si="125">SUM(U18:U19)</f>
        <v>2124658.9344935128</v>
      </c>
      <c r="V20" s="2">
        <f t="shared" ref="V20" si="126">SUM(V18:V19)</f>
        <v>2053808.0741942755</v>
      </c>
      <c r="W20" s="2">
        <f t="shared" ref="W20" si="127">SUM(W18:W19)</f>
        <v>1984423.9269567956</v>
      </c>
      <c r="X20" s="2">
        <f t="shared" ref="X20" si="128">SUM(X18:X19)</f>
        <v>1906149.6358621384</v>
      </c>
      <c r="Y20" s="2">
        <f t="shared" ref="Y20" si="129">SUM(Y18:Y19)</f>
        <v>1834083.6456117791</v>
      </c>
      <c r="Z20" s="2">
        <f t="shared" ref="Z20" si="130">SUM(Z18:Z19)</f>
        <v>1763236.4919528475</v>
      </c>
      <c r="AA20" s="2">
        <f t="shared" ref="AA20" si="131">SUM(AA18:AA19)</f>
        <v>1693591.033458295</v>
      </c>
      <c r="AB20" s="2">
        <f t="shared" ref="AB20" si="132">SUM(AB18:AB19)</f>
        <v>1625171.5902504087</v>
      </c>
      <c r="AC20" s="2">
        <f t="shared" ref="AC20" si="133">SUM(AC18:AC19)</f>
        <v>1557991.7837084043</v>
      </c>
      <c r="AD20" s="2">
        <f t="shared" ref="AD20" si="134">SUM(AD18:AD19)</f>
        <v>1492060.649531726</v>
      </c>
      <c r="AE20" s="2">
        <f t="shared" ref="AE20" si="135">SUM(AE18:AE19)</f>
        <v>1427405.8381916026</v>
      </c>
      <c r="AF20" s="2">
        <f t="shared" ref="AF20" si="136">SUM(AF18:AF19)</f>
        <v>1364037.7942341715</v>
      </c>
      <c r="AG20" s="2">
        <f t="shared" ref="AG20" si="137">SUM(AG18:AG19)</f>
        <v>1302005.3922425658</v>
      </c>
      <c r="AH20" s="2">
        <f t="shared" ref="AH20" si="138">SUM(AH18:AH19)</f>
        <v>1241333.3884179695</v>
      </c>
      <c r="AI20" s="2">
        <f t="shared" ref="AI20" si="139">SUM(AI18:AI19)</f>
        <v>1182078.8038587598</v>
      </c>
      <c r="AJ20" s="2">
        <f t="shared" ref="AJ20" si="140">SUM(AJ18:AJ19)</f>
        <v>1124308.5412268131</v>
      </c>
      <c r="AK20" s="2">
        <f t="shared" ref="AK20" si="141">SUM(AK18:AK19)</f>
        <v>1068063.2908959743</v>
      </c>
      <c r="AL20" s="2">
        <f t="shared" ref="AL20" si="142">SUM(AL18:AL19)</f>
        <v>1013438.3763007559</v>
      </c>
      <c r="AM20" s="2">
        <f t="shared" ref="AM20" si="143">SUM(AM18:AM19)</f>
        <v>960532.30894160504</v>
      </c>
      <c r="AN20" s="2">
        <f t="shared" ref="AN20" si="144">SUM(AN18:AN19)</f>
        <v>909425.07252208469</v>
      </c>
      <c r="AO20" s="2">
        <f t="shared" ref="AO20" si="145">SUM(AO18:AO19)</f>
        <v>860245.08455304056</v>
      </c>
      <c r="AP20" s="2">
        <f t="shared" ref="AP20" si="146">SUM(AP18:AP19)</f>
        <v>813124.35875775199</v>
      </c>
      <c r="AQ20" s="2">
        <f t="shared" ref="AQ20" si="147">SUM(AQ18:AQ19)</f>
        <v>768198.6551801106</v>
      </c>
      <c r="AR20" s="2">
        <f t="shared" ref="AR20" si="148">SUM(AR18:AR19)</f>
        <v>725655.28728811117</v>
      </c>
      <c r="AS20" s="2">
        <f t="shared" ref="AS20" si="149">SUM(AS18:AS19)</f>
        <v>685650.95599531801</v>
      </c>
      <c r="AT20" s="2">
        <f t="shared" ref="AT20" si="150">SUM(AT18:AT19)</f>
        <v>648419.85507611372</v>
      </c>
      <c r="AU20" s="2">
        <f t="shared" ref="AU20" si="151">SUM(AU18:AU19)</f>
        <v>614165.41666728863</v>
      </c>
      <c r="AV20" s="2">
        <f t="shared" ref="AV20" si="152">SUM(AV18:AV19)</f>
        <v>583171.00893059</v>
      </c>
      <c r="AW20" s="2">
        <f t="shared" ref="AW20" si="153">SUM(AW18:AW19)</f>
        <v>555728.02912040148</v>
      </c>
      <c r="AX20" s="2">
        <f t="shared" ref="AX20" si="154">SUM(AX18:AX19)</f>
        <v>532148.2382803997</v>
      </c>
      <c r="AY20" s="2">
        <f t="shared" ref="AY20" si="155">SUM(AY18:AY19)</f>
        <v>512803.28909682063</v>
      </c>
      <c r="AZ20" s="2">
        <f t="shared" ref="AZ20" si="156">SUM(AZ18:AZ19)</f>
        <v>498087.57309055328</v>
      </c>
      <c r="BA20" s="2">
        <f t="shared" ref="BA20" si="157">SUM(BA18:BA19)</f>
        <v>488418.6780301081</v>
      </c>
      <c r="BB20" s="2">
        <f t="shared" ref="BB20" si="158">SUM(BB18:BB19)</f>
        <v>484331.5188341625</v>
      </c>
      <c r="BC20" s="2">
        <f t="shared" ref="BC20" si="159">SUM(BC18:BC19)</f>
        <v>486376.66561810626</v>
      </c>
      <c r="BD20" s="2">
        <f t="shared" ref="BD20" si="160">SUM(BD18:BD19)</f>
        <v>495168.98089460004</v>
      </c>
      <c r="BE20" s="2">
        <f t="shared" ref="BE20" si="161">SUM(BE18:BE19)</f>
        <v>501284.86810228135</v>
      </c>
      <c r="BF20" s="2">
        <f t="shared" ref="BF20" si="162">SUM(BF18:BF19)</f>
        <v>520615.4469270953</v>
      </c>
      <c r="BG20" s="2">
        <f t="shared" ref="BG20" si="163">SUM(BG18:BG19)</f>
        <v>549013.32018174091</v>
      </c>
      <c r="BH20" s="2">
        <f t="shared" ref="BH20" si="164">SUM(BH18:BH19)</f>
        <v>587424.72112342156</v>
      </c>
      <c r="BI20" s="2">
        <f t="shared" ref="BI20" si="165">SUM(BI18:BI19)</f>
        <v>636905.17686155997</v>
      </c>
      <c r="BJ20" s="2">
        <f t="shared" ref="BJ20" si="166">SUM(BJ18:BJ19)</f>
        <v>698645.13694639225</v>
      </c>
    </row>
    <row r="21" spans="1:62" x14ac:dyDescent="0.2">
      <c r="A21" s="37"/>
      <c r="C21" s="78"/>
      <c r="D21" s="78"/>
      <c r="E21" s="78"/>
      <c r="F21" s="78"/>
      <c r="G21" s="7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s="31" customFormat="1" x14ac:dyDescent="0.2">
      <c r="A22" s="31" t="s">
        <v>114</v>
      </c>
      <c r="C22" s="31">
        <f>C20+C15</f>
        <v>974403.34207833337</v>
      </c>
      <c r="D22" s="31">
        <f t="shared" ref="D22:F22" si="167">D20+D15</f>
        <v>936242.55163566663</v>
      </c>
      <c r="E22" s="31">
        <f t="shared" si="167"/>
        <v>892388.48974879994</v>
      </c>
      <c r="F22" s="31">
        <f t="shared" si="167"/>
        <v>812646.50532026659</v>
      </c>
      <c r="G22" s="31">
        <f t="shared" ref="G22:BJ22" si="168">G20+G15</f>
        <v>741091.31405093335</v>
      </c>
      <c r="H22" s="31">
        <f t="shared" si="168"/>
        <v>670711.48753223184</v>
      </c>
      <c r="I22" s="31">
        <f t="shared" si="168"/>
        <v>598349.40374515974</v>
      </c>
      <c r="J22" s="31">
        <f t="shared" si="168"/>
        <v>527344.78453017736</v>
      </c>
      <c r="K22" s="31">
        <f t="shared" si="168"/>
        <v>457804.14360516542</v>
      </c>
      <c r="L22" s="31">
        <f t="shared" si="168"/>
        <v>389536.86240799655</v>
      </c>
      <c r="M22" s="31">
        <f t="shared" si="168"/>
        <v>322650.68528783525</v>
      </c>
      <c r="N22" s="31">
        <f t="shared" si="168"/>
        <v>257104.51072261162</v>
      </c>
      <c r="O22" s="31">
        <f t="shared" si="168"/>
        <v>2688500.4998409376</v>
      </c>
      <c r="P22" s="31">
        <f t="shared" si="168"/>
        <v>2604324.6591180838</v>
      </c>
      <c r="Q22" s="31">
        <f t="shared" si="168"/>
        <v>2531538.6632953202</v>
      </c>
      <c r="R22" s="31">
        <f t="shared" si="168"/>
        <v>2460039.2969911322</v>
      </c>
      <c r="S22" s="31">
        <f t="shared" si="168"/>
        <v>2389897.4563891105</v>
      </c>
      <c r="T22" s="31">
        <f t="shared" si="168"/>
        <v>2321058.3924238747</v>
      </c>
      <c r="U22" s="31">
        <f t="shared" si="168"/>
        <v>2253618.3818463874</v>
      </c>
      <c r="V22" s="31">
        <f t="shared" si="168"/>
        <v>2187643.8295783116</v>
      </c>
      <c r="W22" s="31">
        <f t="shared" si="168"/>
        <v>2123068.3103142274</v>
      </c>
      <c r="X22" s="31">
        <f t="shared" si="168"/>
        <v>2061435.5297674015</v>
      </c>
      <c r="Y22" s="31">
        <f t="shared" si="168"/>
        <v>1984044.5090685356</v>
      </c>
      <c r="Z22" s="31">
        <f t="shared" si="168"/>
        <v>1917928.6375440808</v>
      </c>
      <c r="AA22" s="31">
        <f t="shared" si="168"/>
        <v>1852952.2071233259</v>
      </c>
      <c r="AB22" s="31">
        <f t="shared" si="168"/>
        <v>1789310.6204823621</v>
      </c>
      <c r="AC22" s="31">
        <f t="shared" si="168"/>
        <v>1726978.0687396857</v>
      </c>
      <c r="AD22" s="31">
        <f t="shared" si="168"/>
        <v>1665930.689780246</v>
      </c>
      <c r="AE22" s="31">
        <f t="shared" si="168"/>
        <v>1606282.420099667</v>
      </c>
      <c r="AF22" s="31">
        <f t="shared" si="168"/>
        <v>1547962.7850179842</v>
      </c>
      <c r="AG22" s="31">
        <f t="shared" si="168"/>
        <v>1491199.3118910661</v>
      </c>
      <c r="AH22" s="31">
        <f t="shared" si="168"/>
        <v>1435892.4519977672</v>
      </c>
      <c r="AI22" s="31">
        <f t="shared" si="168"/>
        <v>1382237.9530579729</v>
      </c>
      <c r="AJ22" s="31">
        <f t="shared" si="168"/>
        <v>1330358.8982891091</v>
      </c>
      <c r="AK22" s="31">
        <f t="shared" si="168"/>
        <v>1280161.6661101661</v>
      </c>
      <c r="AL22" s="31">
        <f t="shared" si="168"/>
        <v>1231984.4160295068</v>
      </c>
      <c r="AM22" s="31">
        <f t="shared" si="168"/>
        <v>1185939.3046062351</v>
      </c>
      <c r="AN22" s="31">
        <f t="shared" si="168"/>
        <v>1142018.5129438273</v>
      </c>
      <c r="AO22" s="31">
        <f t="shared" si="168"/>
        <v>1100553.0168176924</v>
      </c>
      <c r="AP22" s="31">
        <f t="shared" si="168"/>
        <v>1061689.9617997687</v>
      </c>
      <c r="AQ22" s="31">
        <f t="shared" si="168"/>
        <v>1025580.807825136</v>
      </c>
      <c r="AR22" s="31">
        <f t="shared" si="168"/>
        <v>992629.49710877216</v>
      </c>
      <c r="AS22" s="31">
        <f t="shared" si="168"/>
        <v>962858.68133184314</v>
      </c>
      <c r="AT22" s="31">
        <f t="shared" si="168"/>
        <v>936839.83667313121</v>
      </c>
      <c r="AU22" s="31">
        <f t="shared" si="168"/>
        <v>914619.20460430882</v>
      </c>
      <c r="AV22" s="31">
        <f t="shared" si="168"/>
        <v>896828.30915207462</v>
      </c>
      <c r="AW22" s="31">
        <f t="shared" si="168"/>
        <v>883792.8284627609</v>
      </c>
      <c r="AX22" s="31">
        <f t="shared" si="168"/>
        <v>875905.0838209911</v>
      </c>
      <c r="AY22" s="31">
        <f t="shared" si="168"/>
        <v>873790.39288011577</v>
      </c>
      <c r="AZ22" s="31">
        <f t="shared" si="168"/>
        <v>877934.03169107065</v>
      </c>
      <c r="BA22" s="31">
        <f t="shared" si="168"/>
        <v>888846.20155024226</v>
      </c>
      <c r="BB22" s="31">
        <f t="shared" si="168"/>
        <v>907560.257001105</v>
      </c>
      <c r="BC22" s="31">
        <f t="shared" si="168"/>
        <v>934694.17087343754</v>
      </c>
      <c r="BD22" s="31">
        <f t="shared" si="168"/>
        <v>971112.69634714245</v>
      </c>
      <c r="BE22" s="31">
        <f t="shared" si="168"/>
        <v>1019650.3756751716</v>
      </c>
      <c r="BF22" s="31">
        <f t="shared" si="168"/>
        <v>1062715.6860327846</v>
      </c>
      <c r="BG22" s="31">
        <f t="shared" si="168"/>
        <v>1128395.6699909933</v>
      </c>
      <c r="BH22" s="31">
        <f t="shared" si="168"/>
        <v>1208031.4724495187</v>
      </c>
      <c r="BI22" s="31">
        <f t="shared" si="168"/>
        <v>1303134.7157372625</v>
      </c>
      <c r="BJ22" s="31">
        <f t="shared" si="168"/>
        <v>1415481.5349268971</v>
      </c>
    </row>
    <row r="23" spans="1:62" x14ac:dyDescent="0.2">
      <c r="C23" s="22">
        <f t="shared" ref="C23:H23" si="169">C22-C9</f>
        <v>0</v>
      </c>
      <c r="D23" s="22">
        <f t="shared" si="169"/>
        <v>0</v>
      </c>
      <c r="E23" s="22">
        <f t="shared" si="169"/>
        <v>0</v>
      </c>
      <c r="F23" s="22">
        <f t="shared" si="169"/>
        <v>0</v>
      </c>
      <c r="G23" s="22">
        <f t="shared" si="169"/>
        <v>0</v>
      </c>
      <c r="H23" s="22">
        <f t="shared" si="169"/>
        <v>0</v>
      </c>
    </row>
    <row r="24" spans="1:62" x14ac:dyDescent="0.2">
      <c r="C24" s="1"/>
    </row>
    <row r="25" spans="1:62" s="68" customFormat="1" x14ac:dyDescent="0.2">
      <c r="A25" s="68" t="s">
        <v>147</v>
      </c>
      <c r="C25" s="69">
        <f>RevenueMultiple*12*'Monthly Income Statement'!C8+C9</f>
        <v>1191199.1667783335</v>
      </c>
      <c r="E25" s="69">
        <f>RevenueMultiple*12*'Monthly Income Statement'!E8+E9</f>
        <v>1153599.6765367999</v>
      </c>
      <c r="F25" s="69">
        <f>RevenueMultiple*12*'Monthly Income Statement'!F8+F9</f>
        <v>1107657.9796082666</v>
      </c>
      <c r="G25" s="69">
        <f>RevenueMultiple*12*'Monthly Income Statement'!G8+G9</f>
        <v>2089009.0778909335</v>
      </c>
      <c r="H25" s="69">
        <f>RevenueMultiple*12*'Monthly Income Statement'!H8+H9</f>
        <v>2327332.9979856401</v>
      </c>
      <c r="I25" s="69">
        <f>RevenueMultiple*12*'Monthly Income Statement'!I8+I9</f>
        <v>2550024.1501923399</v>
      </c>
      <c r="J25" s="69">
        <f>RevenueMultiple*12*'Monthly Income Statement'!J8+J9</f>
        <v>2766562.7552624801</v>
      </c>
      <c r="K25" s="69">
        <f>RevenueMultiple*12*'Monthly Income Statement'!K8+K9</f>
        <v>2981431.1097613336</v>
      </c>
      <c r="L25" s="69">
        <f>RevenueMultiple*12*'Monthly Income Statement'!L8+L9</f>
        <v>3187521.6617383575</v>
      </c>
      <c r="M25" s="69">
        <f>RevenueMultiple*12*'Monthly Income Statement'!M8+M9</f>
        <v>3389849.2652441775</v>
      </c>
      <c r="N25" s="69">
        <f>RevenueMultiple*12*'Monthly Income Statement'!N8+N9</f>
        <v>3587260.1686245548</v>
      </c>
      <c r="O25" s="69">
        <f>RevenueMultiple*12*'Monthly Income Statement'!O8+O9</f>
        <v>6277988.5561510734</v>
      </c>
      <c r="P25" s="69">
        <f>RevenueMultiple*12*'Monthly Income Statement'!P8+P9</f>
        <v>6446892.3873822875</v>
      </c>
      <c r="Q25" s="69">
        <f>RevenueMultiple*12*'Monthly Income Statement'!Q8+Q9</f>
        <v>6623958.716755243</v>
      </c>
      <c r="R25" s="69">
        <f>RevenueMultiple*12*'Monthly Income Statement'!R8+R9</f>
        <v>6795571.8104612809</v>
      </c>
      <c r="S25" s="69">
        <f>RevenueMultiple*12*'Monthly Income Statement'!S8+S9</f>
        <v>6964705.7795070782</v>
      </c>
      <c r="T25" s="69">
        <f>RevenueMultiple*12*'Monthly Income Statement'!T8+T9</f>
        <v>7130215.498419635</v>
      </c>
      <c r="U25" s="69">
        <f>RevenueMultiple*12*'Monthly Income Statement'!U8+U9</f>
        <v>7295946.1616200376</v>
      </c>
      <c r="V25" s="69">
        <f>RevenueMultiple*12*'Monthly Income Statement'!V8+V9</f>
        <v>7464164.8731451752</v>
      </c>
      <c r="W25" s="69">
        <f>RevenueMultiple*12*'Monthly Income Statement'!W8+W9</f>
        <v>7631850.9767883904</v>
      </c>
      <c r="X25" s="69">
        <f>RevenueMultiple*12*'Monthly Income Statement'!X8+X9</f>
        <v>7786054.8812458618</v>
      </c>
      <c r="Y25" s="69">
        <f>RevenueMultiple*12*'Monthly Income Statement'!Y8+Y9</f>
        <v>7921410.9977496732</v>
      </c>
      <c r="Z25" s="69">
        <f>RevenueMultiple*12*'Monthly Income Statement'!Z8+Z9</f>
        <v>8070363.7857451886</v>
      </c>
      <c r="AA25" s="69">
        <f>RevenueMultiple*12*'Monthly Income Statement'!AA8+AA9</f>
        <v>8217559.9074011073</v>
      </c>
      <c r="AB25" s="69">
        <f>RevenueMultiple*12*'Monthly Income Statement'!AB8+AB9</f>
        <v>8370814.9349677879</v>
      </c>
      <c r="AC25" s="69">
        <f>RevenueMultiple*12*'Monthly Income Statement'!AC8+AC9</f>
        <v>8528278.227157861</v>
      </c>
      <c r="AD25" s="69">
        <f>RevenueMultiple*12*'Monthly Income Statement'!AD8+AD9</f>
        <v>8688663.8466351479</v>
      </c>
      <c r="AE25" s="69">
        <f>RevenueMultiple*12*'Monthly Income Statement'!AE8+AE9</f>
        <v>8855791.1969341934</v>
      </c>
      <c r="AF25" s="69">
        <f>RevenueMultiple*12*'Monthly Income Statement'!AF8+AF9</f>
        <v>9026129.871086495</v>
      </c>
      <c r="AG25" s="69">
        <f>RevenueMultiple*12*'Monthly Income Statement'!AG8+AG9</f>
        <v>9207572.7818497252</v>
      </c>
      <c r="AH25" s="69">
        <f>RevenueMultiple*12*'Monthly Income Statement'!AH8+AH9</f>
        <v>9394844.1299159266</v>
      </c>
      <c r="AI25" s="69">
        <f>RevenueMultiple*12*'Monthly Income Statement'!AI8+AI9</f>
        <v>9594237.3554817829</v>
      </c>
      <c r="AJ25" s="69">
        <f>RevenueMultiple*12*'Monthly Income Statement'!AJ8+AJ9</f>
        <v>9808153.8522411883</v>
      </c>
      <c r="AK25" s="69">
        <f>RevenueMultiple*12*'Monthly Income Statement'!AK8+AK9</f>
        <v>10030897.902685598</v>
      </c>
      <c r="AL25" s="69">
        <f>RevenueMultiple*12*'Monthly Income Statement'!AL8+AL9</f>
        <v>10273370.732178941</v>
      </c>
      <c r="AM25" s="69">
        <f>RevenueMultiple*12*'Monthly Income Statement'!AM8+AM9</f>
        <v>10536285.132996088</v>
      </c>
      <c r="AN25" s="69">
        <f>RevenueMultiple*12*'Monthly Income Statement'!AN8+AN9</f>
        <v>10815887.540424891</v>
      </c>
      <c r="AO25" s="69">
        <f>RevenueMultiple*12*'Monthly Income Statement'!AO8+AO9</f>
        <v>11121491.706614608</v>
      </c>
      <c r="AP25" s="69">
        <f>RevenueMultiple*12*'Monthly Income Statement'!AP8+AP9</f>
        <v>11453914.505342962</v>
      </c>
      <c r="AQ25" s="69">
        <f>RevenueMultiple*12*'Monthly Income Statement'!AQ8+AQ9</f>
        <v>11814003.172517402</v>
      </c>
      <c r="AR25" s="69">
        <f>RevenueMultiple*12*'Monthly Income Statement'!AR8+AR9</f>
        <v>12211753.718208633</v>
      </c>
      <c r="AS25" s="69">
        <f>RevenueMultiple*12*'Monthly Income Statement'!AS8+AS9</f>
        <v>12641330.563859995</v>
      </c>
      <c r="AT25" s="69">
        <f>RevenueMultiple*12*'Monthly Income Statement'!AT8+AT9</f>
        <v>13118073.229431404</v>
      </c>
      <c r="AU25" s="69">
        <f>RevenueMultiple*12*'Monthly Income Statement'!AU8+AU9</f>
        <v>13635466.538185406</v>
      </c>
      <c r="AV25" s="69">
        <f>RevenueMultiple*12*'Monthly Income Statement'!AV8+AV9</f>
        <v>14209382.851594696</v>
      </c>
      <c r="AW25" s="69">
        <f>RevenueMultiple*12*'Monthly Income Statement'!AW8+AW9</f>
        <v>14841658.020122236</v>
      </c>
      <c r="AX25" s="69">
        <f>RevenueMultiple*12*'Monthly Income Statement'!AX8+AX9</f>
        <v>15536322.999638624</v>
      </c>
      <c r="AY25" s="69">
        <f>RevenueMultiple*12*'Monthly Income Statement'!AY8+AY9</f>
        <v>16305206.55536424</v>
      </c>
      <c r="AZ25" s="69">
        <f>RevenueMultiple*12*'Monthly Income Statement'!AZ8+AZ9</f>
        <v>17152884.829330537</v>
      </c>
      <c r="BA25" s="69">
        <f>RevenueMultiple*12*'Monthly Income Statement'!BA8+BA9</f>
        <v>18084038.203527544</v>
      </c>
      <c r="BB25" s="69">
        <f>RevenueMultiple*12*'Monthly Income Statement'!BB8+BB9</f>
        <v>19121692.850252654</v>
      </c>
      <c r="BC25" s="69">
        <f>RevenueMultiple*12*'Monthly Income Statement'!BC8+BC9</f>
        <v>20269428.135570005</v>
      </c>
      <c r="BD25" s="69">
        <f>RevenueMultiple*12*'Monthly Income Statement'!BD8+BD9</f>
        <v>21539463.07651303</v>
      </c>
      <c r="BE25" s="69">
        <f>RevenueMultiple*12*'Monthly Income Statement'!BE8+BE9</f>
        <v>22950068.835322756</v>
      </c>
      <c r="BF25" s="69">
        <f>RevenueMultiple*12*'Monthly Income Statement'!BF8+BF9</f>
        <v>24498057.588692307</v>
      </c>
      <c r="BG25" s="69">
        <f>RevenueMultiple*12*'Monthly Income Statement'!BG8+BG9</f>
        <v>26226238.559547313</v>
      </c>
      <c r="BH25" s="69">
        <f>RevenueMultiple*12*'Monthly Income Statement'!BH8+BH9</f>
        <v>28143418.06873326</v>
      </c>
      <c r="BI25" s="69">
        <f>RevenueMultiple*12*'Monthly Income Statement'!BI8+BI9</f>
        <v>30271348.226296645</v>
      </c>
      <c r="BJ25" s="69">
        <f>RevenueMultiple*12*'Monthly Income Statement'!BJ8+BJ9</f>
        <v>32637471.079431985</v>
      </c>
    </row>
    <row r="26" spans="1:62" s="68" customFormat="1" x14ac:dyDescent="0.2">
      <c r="A26" s="68" t="s">
        <v>148</v>
      </c>
      <c r="C26" s="70">
        <f>C34*C25</f>
        <v>774279.45840591681</v>
      </c>
      <c r="D26" s="70">
        <f t="shared" ref="D26:BJ26" si="170">D34*D25</f>
        <v>0</v>
      </c>
      <c r="E26" s="70">
        <f t="shared" si="170"/>
        <v>749839.78974891989</v>
      </c>
      <c r="F26" s="70">
        <f t="shared" si="170"/>
        <v>719977.6867453733</v>
      </c>
      <c r="G26" s="70">
        <f t="shared" si="170"/>
        <v>1357855.9006291069</v>
      </c>
      <c r="H26" s="70">
        <f t="shared" si="170"/>
        <v>1512766.4486906661</v>
      </c>
      <c r="I26" s="70">
        <f t="shared" si="170"/>
        <v>1657515.697625021</v>
      </c>
      <c r="J26" s="70">
        <f t="shared" si="170"/>
        <v>1798265.7909206122</v>
      </c>
      <c r="K26" s="70">
        <f t="shared" si="170"/>
        <v>1937930.2213448668</v>
      </c>
      <c r="L26" s="70">
        <f t="shared" si="170"/>
        <v>2071889.0801299324</v>
      </c>
      <c r="M26" s="70">
        <f t="shared" si="170"/>
        <v>2203402.0224087154</v>
      </c>
      <c r="N26" s="70">
        <f t="shared" si="170"/>
        <v>2331719.1096059605</v>
      </c>
      <c r="O26" s="70">
        <f t="shared" si="170"/>
        <v>2510428.6478266674</v>
      </c>
      <c r="P26" s="70">
        <f t="shared" si="170"/>
        <v>2577969.5509133846</v>
      </c>
      <c r="Q26" s="70">
        <f t="shared" si="170"/>
        <v>2648774.4563138341</v>
      </c>
      <c r="R26" s="70">
        <f t="shared" si="170"/>
        <v>2717398.7334893136</v>
      </c>
      <c r="S26" s="70">
        <f t="shared" si="170"/>
        <v>2785031.6635935237</v>
      </c>
      <c r="T26" s="70">
        <f t="shared" si="170"/>
        <v>2851215.336299445</v>
      </c>
      <c r="U26" s="70">
        <f t="shared" si="170"/>
        <v>2917487.3597350339</v>
      </c>
      <c r="V26" s="70">
        <f t="shared" si="170"/>
        <v>2984754.2986177802</v>
      </c>
      <c r="W26" s="70">
        <f t="shared" si="170"/>
        <v>3051808.2593988823</v>
      </c>
      <c r="X26" s="70">
        <f t="shared" si="170"/>
        <v>3113470.987180931</v>
      </c>
      <c r="Y26" s="70">
        <f t="shared" si="170"/>
        <v>3167596.9017936299</v>
      </c>
      <c r="Z26" s="70">
        <f t="shared" si="170"/>
        <v>3227159.8243464623</v>
      </c>
      <c r="AA26" s="70">
        <f t="shared" si="170"/>
        <v>3286020.2949173972</v>
      </c>
      <c r="AB26" s="70">
        <f t="shared" si="170"/>
        <v>3347303.5878360984</v>
      </c>
      <c r="AC26" s="70">
        <f t="shared" si="170"/>
        <v>3410269.6726193768</v>
      </c>
      <c r="AD26" s="70">
        <f t="shared" si="170"/>
        <v>3474404.3313932782</v>
      </c>
      <c r="AE26" s="70">
        <f t="shared" si="170"/>
        <v>3541234.8590811645</v>
      </c>
      <c r="AF26" s="70">
        <f t="shared" si="170"/>
        <v>3609349.5240889196</v>
      </c>
      <c r="AG26" s="70">
        <f t="shared" si="170"/>
        <v>3681904.5275029955</v>
      </c>
      <c r="AH26" s="70">
        <f t="shared" si="170"/>
        <v>3756790.1939704637</v>
      </c>
      <c r="AI26" s="70">
        <f t="shared" si="170"/>
        <v>3836523.130908147</v>
      </c>
      <c r="AJ26" s="70">
        <f t="shared" si="170"/>
        <v>3922063.6024946021</v>
      </c>
      <c r="AK26" s="70">
        <f t="shared" si="170"/>
        <v>4011134.0173842111</v>
      </c>
      <c r="AL26" s="70">
        <f t="shared" si="170"/>
        <v>4108093.5342796785</v>
      </c>
      <c r="AM26" s="70">
        <f t="shared" si="170"/>
        <v>4213227.1830326477</v>
      </c>
      <c r="AN26" s="70">
        <f t="shared" si="170"/>
        <v>4325033.9962073611</v>
      </c>
      <c r="AO26" s="70">
        <f t="shared" si="170"/>
        <v>4447238.3371098554</v>
      </c>
      <c r="AP26" s="70">
        <f t="shared" si="170"/>
        <v>4580166.8554807156</v>
      </c>
      <c r="AQ26" s="70">
        <f t="shared" si="170"/>
        <v>4724158.3422040762</v>
      </c>
      <c r="AR26" s="70">
        <f t="shared" si="170"/>
        <v>4883209.9804256242</v>
      </c>
      <c r="AS26" s="70">
        <f t="shared" si="170"/>
        <v>5054988.2514627026</v>
      </c>
      <c r="AT26" s="70">
        <f t="shared" si="170"/>
        <v>5245627.089776461</v>
      </c>
      <c r="AU26" s="70">
        <f t="shared" si="170"/>
        <v>5452521.2204160038</v>
      </c>
      <c r="AV26" s="70">
        <f t="shared" si="170"/>
        <v>5682017.6493679332</v>
      </c>
      <c r="AW26" s="70">
        <f t="shared" si="170"/>
        <v>5934850.4925921811</v>
      </c>
      <c r="AX26" s="70">
        <f t="shared" si="170"/>
        <v>6212631.6401081663</v>
      </c>
      <c r="AY26" s="70">
        <f t="shared" si="170"/>
        <v>6520091.1532742446</v>
      </c>
      <c r="AZ26" s="70">
        <f t="shared" si="170"/>
        <v>6859058.9299867777</v>
      </c>
      <c r="BA26" s="70">
        <f t="shared" si="170"/>
        <v>7231406.5513940016</v>
      </c>
      <c r="BB26" s="70">
        <f t="shared" si="170"/>
        <v>7646341.6740674702</v>
      </c>
      <c r="BC26" s="70">
        <f t="shared" si="170"/>
        <v>8105295.6072598351</v>
      </c>
      <c r="BD26" s="70">
        <f t="shared" si="170"/>
        <v>8613154.4653904922</v>
      </c>
      <c r="BE26" s="70">
        <f t="shared" si="170"/>
        <v>9177224.4817710705</v>
      </c>
      <c r="BF26" s="70">
        <f t="shared" si="170"/>
        <v>9796230.916429963</v>
      </c>
      <c r="BG26" s="70">
        <f t="shared" si="170"/>
        <v>10487292.229947736</v>
      </c>
      <c r="BH26" s="70">
        <f t="shared" si="170"/>
        <v>11253929.875085052</v>
      </c>
      <c r="BI26" s="70">
        <f t="shared" si="170"/>
        <v>12104842.039123232</v>
      </c>
      <c r="BJ26" s="70">
        <f t="shared" si="170"/>
        <v>13051002.189251002</v>
      </c>
    </row>
    <row r="27" spans="1:62" s="68" customFormat="1" x14ac:dyDescent="0.2"/>
    <row r="28" spans="1:62" s="68" customFormat="1" x14ac:dyDescent="0.2">
      <c r="A28" s="68" t="s">
        <v>154</v>
      </c>
    </row>
    <row r="29" spans="1:62" s="69" customFormat="1" x14ac:dyDescent="0.2">
      <c r="A29" s="69" t="s">
        <v>156</v>
      </c>
      <c r="C29" s="69">
        <f>PreMoneyMonth1</f>
        <v>3000000</v>
      </c>
      <c r="D29" s="69">
        <f>RevenueMultiple*12*'Monthly Income Statement'!D8+D9</f>
        <v>1172726.0550756669</v>
      </c>
      <c r="E29" s="69">
        <f>RevenueMultiple*12*'Monthly Income Statement'!E8+E9</f>
        <v>1153599.6765367999</v>
      </c>
      <c r="F29" s="69">
        <f>RevenueMultiple*12*'Monthly Income Statement'!F8+F9</f>
        <v>1107657.9796082666</v>
      </c>
      <c r="G29" s="69">
        <f>RevenueMultiple*12*'Monthly Income Statement'!G8+G9</f>
        <v>2089009.0778909335</v>
      </c>
      <c r="H29" s="69">
        <f>RevenueMultiple*12*'Monthly Income Statement'!H8+H9</f>
        <v>2327332.9979856401</v>
      </c>
      <c r="I29" s="69">
        <f>RevenueMultiple*12*'Monthly Income Statement'!I8+I9</f>
        <v>2550024.1501923399</v>
      </c>
      <c r="J29" s="69">
        <f>RevenueMultiple*12*'Monthly Income Statement'!J8+J9</f>
        <v>2766562.7552624801</v>
      </c>
      <c r="K29" s="69">
        <f>RevenueMultiple*12*'Monthly Income Statement'!K8+K9</f>
        <v>2981431.1097613336</v>
      </c>
      <c r="L29" s="69">
        <f>RevenueMultiple*12*'Monthly Income Statement'!L8+L9</f>
        <v>3187521.6617383575</v>
      </c>
      <c r="M29" s="69">
        <f>RevenueMultiple*12*'Monthly Income Statement'!M8+M9</f>
        <v>3389849.2652441775</v>
      </c>
      <c r="N29" s="69">
        <f>RevenueMultiple*12*'Monthly Income Statement'!N8+N9</f>
        <v>3587260.1686245548</v>
      </c>
      <c r="O29" s="69">
        <f>RevenueMultiple*12*'Monthly Income Statement'!O8+O9</f>
        <v>6277988.5561510734</v>
      </c>
      <c r="P29" s="69">
        <f>RevenueMultiple*12*'Monthly Income Statement'!P8+P9</f>
        <v>6446892.3873822875</v>
      </c>
      <c r="Q29" s="69">
        <f>RevenueMultiple*12*'Monthly Income Statement'!Q8+Q9</f>
        <v>6623958.716755243</v>
      </c>
      <c r="R29" s="69">
        <f>RevenueMultiple*12*'Monthly Income Statement'!R8+R9</f>
        <v>6795571.8104612809</v>
      </c>
      <c r="S29" s="69">
        <f>RevenueMultiple*12*'Monthly Income Statement'!S8+S9</f>
        <v>6964705.7795070782</v>
      </c>
      <c r="T29" s="69">
        <f>RevenueMultiple*12*'Monthly Income Statement'!T8+T9</f>
        <v>7130215.498419635</v>
      </c>
      <c r="U29" s="69">
        <f>RevenueMultiple*12*'Monthly Income Statement'!U8+U9</f>
        <v>7295946.1616200376</v>
      </c>
      <c r="V29" s="69">
        <f>RevenueMultiple*12*'Monthly Income Statement'!V8+V9</f>
        <v>7464164.8731451752</v>
      </c>
      <c r="W29" s="69">
        <f>RevenueMultiple*12*'Monthly Income Statement'!W8+W9</f>
        <v>7631850.9767883904</v>
      </c>
      <c r="X29" s="69">
        <f>RevenueMultiple*12*'Monthly Income Statement'!X8+X9</f>
        <v>7786054.8812458618</v>
      </c>
      <c r="Y29" s="69">
        <f>RevenueMultiple*12*'Monthly Income Statement'!Y8+Y9</f>
        <v>7921410.9977496732</v>
      </c>
      <c r="Z29" s="69">
        <f>RevenueMultiple*12*'Monthly Income Statement'!Z8+Z9</f>
        <v>8070363.7857451886</v>
      </c>
      <c r="AA29" s="69">
        <f>RevenueMultiple*12*'Monthly Income Statement'!AA8+AA9</f>
        <v>8217559.9074011073</v>
      </c>
      <c r="AB29" s="69">
        <f>RevenueMultiple*12*'Monthly Income Statement'!AB8+AB9</f>
        <v>8370814.9349677879</v>
      </c>
      <c r="AC29" s="69">
        <f>RevenueMultiple*12*'Monthly Income Statement'!AC8+AC9</f>
        <v>8528278.227157861</v>
      </c>
      <c r="AD29" s="69">
        <f>RevenueMultiple*12*'Monthly Income Statement'!AD8+AD9</f>
        <v>8688663.8466351479</v>
      </c>
      <c r="AE29" s="69">
        <f>RevenueMultiple*12*'Monthly Income Statement'!AE8+AE9</f>
        <v>8855791.1969341934</v>
      </c>
      <c r="AF29" s="69">
        <f>RevenueMultiple*12*'Monthly Income Statement'!AF8+AF9</f>
        <v>9026129.871086495</v>
      </c>
      <c r="AG29" s="69">
        <f>RevenueMultiple*12*'Monthly Income Statement'!AG8+AG9</f>
        <v>9207572.7818497252</v>
      </c>
      <c r="AH29" s="69">
        <f>RevenueMultiple*12*'Monthly Income Statement'!AH8+AH9</f>
        <v>9394844.1299159266</v>
      </c>
      <c r="AI29" s="69">
        <f>RevenueMultiple*12*'Monthly Income Statement'!AI8+AI9</f>
        <v>9594237.3554817829</v>
      </c>
      <c r="AJ29" s="69">
        <f>RevenueMultiple*12*'Monthly Income Statement'!AJ8+AJ9</f>
        <v>9808153.8522411883</v>
      </c>
      <c r="AK29" s="69">
        <f>RevenueMultiple*12*'Monthly Income Statement'!AK8+AK9</f>
        <v>10030897.902685598</v>
      </c>
      <c r="AL29" s="69">
        <f>RevenueMultiple*12*'Monthly Income Statement'!AL8+AL9</f>
        <v>10273370.732178941</v>
      </c>
      <c r="AM29" s="69">
        <f>RevenueMultiple*12*'Monthly Income Statement'!AM8+AM9</f>
        <v>10536285.132996088</v>
      </c>
      <c r="AN29" s="69">
        <f>RevenueMultiple*12*'Monthly Income Statement'!AN8+AN9</f>
        <v>10815887.540424891</v>
      </c>
      <c r="AO29" s="69">
        <f>RevenueMultiple*12*'Monthly Income Statement'!AO8+AO9</f>
        <v>11121491.706614608</v>
      </c>
      <c r="AP29" s="69">
        <f>RevenueMultiple*12*'Monthly Income Statement'!AP8+AP9</f>
        <v>11453914.505342962</v>
      </c>
      <c r="AQ29" s="69">
        <f>RevenueMultiple*12*'Monthly Income Statement'!AQ8+AQ9</f>
        <v>11814003.172517402</v>
      </c>
      <c r="AR29" s="69">
        <f>RevenueMultiple*12*'Monthly Income Statement'!AR8+AR9</f>
        <v>12211753.718208633</v>
      </c>
      <c r="AS29" s="69">
        <f>RevenueMultiple*12*'Monthly Income Statement'!AS8+AS9</f>
        <v>12641330.563859995</v>
      </c>
      <c r="AT29" s="69">
        <f>RevenueMultiple*12*'Monthly Income Statement'!AT8+AT9</f>
        <v>13118073.229431404</v>
      </c>
      <c r="AU29" s="69">
        <f>RevenueMultiple*12*'Monthly Income Statement'!AU8+AU9</f>
        <v>13635466.538185406</v>
      </c>
      <c r="AV29" s="69">
        <f>RevenueMultiple*12*'Monthly Income Statement'!AV8+AV9</f>
        <v>14209382.851594696</v>
      </c>
      <c r="AW29" s="69">
        <f>RevenueMultiple*12*'Monthly Income Statement'!AW8+AW9</f>
        <v>14841658.020122236</v>
      </c>
      <c r="AX29" s="69">
        <f>RevenueMultiple*12*'Monthly Income Statement'!AX8+AX9</f>
        <v>15536322.999638624</v>
      </c>
      <c r="AY29" s="69">
        <f>RevenueMultiple*12*'Monthly Income Statement'!AY8+AY9</f>
        <v>16305206.55536424</v>
      </c>
      <c r="AZ29" s="69">
        <f>RevenueMultiple*12*'Monthly Income Statement'!AZ8+AZ9</f>
        <v>17152884.829330537</v>
      </c>
      <c r="BA29" s="69">
        <f>RevenueMultiple*12*'Monthly Income Statement'!BA8+BA9</f>
        <v>18084038.203527544</v>
      </c>
      <c r="BB29" s="69">
        <f>RevenueMultiple*12*'Monthly Income Statement'!BB8+BB9</f>
        <v>19121692.850252654</v>
      </c>
      <c r="BC29" s="69">
        <f>RevenueMultiple*12*'Monthly Income Statement'!BC8+BC9</f>
        <v>20269428.135570005</v>
      </c>
      <c r="BD29" s="69">
        <f>RevenueMultiple*12*'Monthly Income Statement'!BD8+BD9</f>
        <v>21539463.07651303</v>
      </c>
      <c r="BE29" s="69">
        <f>RevenueMultiple*12*'Monthly Income Statement'!BE8+BE9</f>
        <v>22950068.835322756</v>
      </c>
      <c r="BF29" s="69">
        <f>RevenueMultiple*12*'Monthly Income Statement'!BF8+BF9</f>
        <v>24498057.588692307</v>
      </c>
      <c r="BG29" s="69">
        <f>RevenueMultiple*12*'Monthly Income Statement'!BG8+BG9</f>
        <v>26226238.559547313</v>
      </c>
      <c r="BH29" s="69">
        <f>RevenueMultiple*12*'Monthly Income Statement'!BH8+BH9</f>
        <v>28143418.06873326</v>
      </c>
      <c r="BI29" s="69">
        <f>RevenueMultiple*12*'Monthly Income Statement'!BI8+BI9</f>
        <v>30271348.226296645</v>
      </c>
      <c r="BJ29" s="69">
        <f>RevenueMultiple*12*'Monthly Income Statement'!BJ8+BJ9</f>
        <v>32637471.079431985</v>
      </c>
    </row>
    <row r="30" spans="1:62" s="69" customFormat="1" x14ac:dyDescent="0.2">
      <c r="A30" s="69" t="s">
        <v>155</v>
      </c>
      <c r="C30" s="69">
        <f>'Monthly Income Statement'!C39</f>
        <v>1000000</v>
      </c>
      <c r="D30" s="69">
        <f>'Monthly Income Statement'!D39</f>
        <v>0</v>
      </c>
      <c r="E30" s="69">
        <f>'Monthly Income Statement'!E39</f>
        <v>0</v>
      </c>
      <c r="F30" s="69">
        <f>'Monthly Income Statement'!F39</f>
        <v>0</v>
      </c>
      <c r="G30" s="69">
        <f>'Monthly Income Statement'!G39</f>
        <v>0</v>
      </c>
      <c r="H30" s="69">
        <f>'Monthly Income Statement'!H39</f>
        <v>0</v>
      </c>
      <c r="I30" s="69">
        <f>'Monthly Income Statement'!I39</f>
        <v>0</v>
      </c>
      <c r="J30" s="69">
        <f>'Monthly Income Statement'!J39</f>
        <v>0</v>
      </c>
      <c r="K30" s="69">
        <f>'Monthly Income Statement'!K39</f>
        <v>0</v>
      </c>
      <c r="L30" s="69">
        <f>'Monthly Income Statement'!L39</f>
        <v>0</v>
      </c>
      <c r="M30" s="69">
        <f>'Monthly Income Statement'!M39</f>
        <v>0</v>
      </c>
      <c r="N30" s="69">
        <f>'Monthly Income Statement'!N39</f>
        <v>0</v>
      </c>
      <c r="O30" s="69">
        <f>'Monthly Income Statement'!O39</f>
        <v>2500000</v>
      </c>
      <c r="P30" s="69">
        <f>'Monthly Income Statement'!P39</f>
        <v>0</v>
      </c>
      <c r="Q30" s="69">
        <f>'Monthly Income Statement'!Q39</f>
        <v>0</v>
      </c>
      <c r="R30" s="69">
        <f>'Monthly Income Statement'!R39</f>
        <v>0</v>
      </c>
      <c r="S30" s="69">
        <f>'Monthly Income Statement'!S39</f>
        <v>0</v>
      </c>
      <c r="T30" s="69">
        <f>'Monthly Income Statement'!T39</f>
        <v>0</v>
      </c>
      <c r="U30" s="69">
        <f>'Monthly Income Statement'!U39</f>
        <v>0</v>
      </c>
      <c r="V30" s="69">
        <f>'Monthly Income Statement'!V39</f>
        <v>0</v>
      </c>
      <c r="W30" s="69">
        <f>'Monthly Income Statement'!W39</f>
        <v>0</v>
      </c>
      <c r="X30" s="69">
        <f>'Monthly Income Statement'!X39</f>
        <v>0</v>
      </c>
      <c r="Y30" s="69">
        <f>'Monthly Income Statement'!Y39</f>
        <v>0</v>
      </c>
      <c r="Z30" s="69">
        <f>'Monthly Income Statement'!Z39</f>
        <v>0</v>
      </c>
      <c r="AA30" s="69">
        <f>'Monthly Income Statement'!AA39</f>
        <v>0</v>
      </c>
      <c r="AB30" s="69">
        <f>'Monthly Income Statement'!AB39</f>
        <v>0</v>
      </c>
      <c r="AC30" s="69">
        <f>'Monthly Income Statement'!AC39</f>
        <v>0</v>
      </c>
      <c r="AD30" s="69">
        <f>'Monthly Income Statement'!AD39</f>
        <v>0</v>
      </c>
      <c r="AE30" s="69">
        <f>'Monthly Income Statement'!AE39</f>
        <v>0</v>
      </c>
      <c r="AF30" s="69">
        <f>'Monthly Income Statement'!AF39</f>
        <v>0</v>
      </c>
      <c r="AG30" s="69">
        <f>'Monthly Income Statement'!AG39</f>
        <v>0</v>
      </c>
      <c r="AH30" s="69">
        <f>'Monthly Income Statement'!AH39</f>
        <v>0</v>
      </c>
      <c r="AI30" s="69">
        <f>'Monthly Income Statement'!AI39</f>
        <v>0</v>
      </c>
      <c r="AJ30" s="69">
        <f>'Monthly Income Statement'!AJ39</f>
        <v>0</v>
      </c>
      <c r="AK30" s="69">
        <f>'Monthly Income Statement'!AK39</f>
        <v>0</v>
      </c>
      <c r="AL30" s="69">
        <f>'Monthly Income Statement'!AL39</f>
        <v>0</v>
      </c>
      <c r="AM30" s="69">
        <f>'Monthly Income Statement'!AM39</f>
        <v>0</v>
      </c>
      <c r="AN30" s="69">
        <f>'Monthly Income Statement'!AN39</f>
        <v>0</v>
      </c>
      <c r="AO30" s="69">
        <f>'Monthly Income Statement'!AO39</f>
        <v>0</v>
      </c>
      <c r="AP30" s="69">
        <f>'Monthly Income Statement'!AP39</f>
        <v>0</v>
      </c>
      <c r="AQ30" s="69">
        <f>'Monthly Income Statement'!AQ39</f>
        <v>0</v>
      </c>
      <c r="AR30" s="69">
        <f>'Monthly Income Statement'!AR39</f>
        <v>0</v>
      </c>
      <c r="AS30" s="69">
        <f>'Monthly Income Statement'!AS39</f>
        <v>0</v>
      </c>
      <c r="AT30" s="69">
        <f>'Monthly Income Statement'!AT39</f>
        <v>0</v>
      </c>
      <c r="AU30" s="69">
        <f>'Monthly Income Statement'!AU39</f>
        <v>0</v>
      </c>
      <c r="AV30" s="69">
        <f>'Monthly Income Statement'!AV39</f>
        <v>0</v>
      </c>
      <c r="AW30" s="69">
        <f>'Monthly Income Statement'!AW39</f>
        <v>0</v>
      </c>
      <c r="AX30" s="69">
        <f>'Monthly Income Statement'!AX39</f>
        <v>0</v>
      </c>
      <c r="AY30" s="69">
        <f>'Monthly Income Statement'!AY39</f>
        <v>0</v>
      </c>
      <c r="AZ30" s="69">
        <f>'Monthly Income Statement'!AZ39</f>
        <v>0</v>
      </c>
      <c r="BA30" s="69">
        <f>'Monthly Income Statement'!BA39</f>
        <v>0</v>
      </c>
      <c r="BB30" s="69">
        <f>'Monthly Income Statement'!BB39</f>
        <v>0</v>
      </c>
      <c r="BC30" s="69">
        <f>'Monthly Income Statement'!BC39</f>
        <v>0</v>
      </c>
      <c r="BD30" s="69">
        <f>'Monthly Income Statement'!BD39</f>
        <v>0</v>
      </c>
      <c r="BE30" s="69">
        <f>'Monthly Income Statement'!BE39</f>
        <v>0</v>
      </c>
      <c r="BF30" s="69">
        <f>'Monthly Income Statement'!BF39</f>
        <v>0</v>
      </c>
      <c r="BG30" s="69">
        <f>'Monthly Income Statement'!BG39</f>
        <v>0</v>
      </c>
      <c r="BH30" s="69">
        <f>'Monthly Income Statement'!BH39</f>
        <v>0</v>
      </c>
      <c r="BI30" s="69">
        <f>'Monthly Income Statement'!BI39</f>
        <v>0</v>
      </c>
      <c r="BJ30" s="69">
        <f>'Monthly Income Statement'!BJ39</f>
        <v>0</v>
      </c>
    </row>
    <row r="31" spans="1:62" s="71" customFormat="1" x14ac:dyDescent="0.2">
      <c r="A31" s="71" t="s">
        <v>157</v>
      </c>
      <c r="C31" s="71">
        <f>C30/(C29+C30)</f>
        <v>0.25</v>
      </c>
      <c r="D31" s="71">
        <f t="shared" ref="D31:O31" si="171">D30/(D29+D30)</f>
        <v>0</v>
      </c>
      <c r="E31" s="71">
        <f t="shared" si="171"/>
        <v>0</v>
      </c>
      <c r="F31" s="71">
        <f t="shared" si="171"/>
        <v>0</v>
      </c>
      <c r="G31" s="71">
        <f t="shared" si="171"/>
        <v>0</v>
      </c>
      <c r="H31" s="71">
        <f t="shared" si="171"/>
        <v>0</v>
      </c>
      <c r="I31" s="71">
        <f t="shared" si="171"/>
        <v>0</v>
      </c>
      <c r="J31" s="71">
        <f t="shared" si="171"/>
        <v>0</v>
      </c>
      <c r="K31" s="71">
        <f t="shared" si="171"/>
        <v>0</v>
      </c>
      <c r="L31" s="71">
        <f t="shared" si="171"/>
        <v>0</v>
      </c>
      <c r="M31" s="71">
        <f t="shared" si="171"/>
        <v>0</v>
      </c>
      <c r="N31" s="71">
        <f t="shared" si="171"/>
        <v>0</v>
      </c>
      <c r="O31" s="72">
        <f t="shared" si="171"/>
        <v>0.28480328767894714</v>
      </c>
      <c r="P31" s="72">
        <f t="shared" ref="P31" si="172">P30/(P29+P30)</f>
        <v>0</v>
      </c>
      <c r="Q31" s="72">
        <f t="shared" ref="Q31" si="173">Q30/(Q29+Q30)</f>
        <v>0</v>
      </c>
      <c r="R31" s="72">
        <f t="shared" ref="R31" si="174">R30/(R29+R30)</f>
        <v>0</v>
      </c>
      <c r="S31" s="72">
        <f t="shared" ref="S31" si="175">S30/(S29+S30)</f>
        <v>0</v>
      </c>
      <c r="T31" s="72">
        <f t="shared" ref="T31" si="176">T30/(T29+T30)</f>
        <v>0</v>
      </c>
      <c r="U31" s="72">
        <f t="shared" ref="U31" si="177">U30/(U29+U30)</f>
        <v>0</v>
      </c>
      <c r="V31" s="72">
        <f t="shared" ref="V31" si="178">V30/(V29+V30)</f>
        <v>0</v>
      </c>
      <c r="W31" s="72">
        <f t="shared" ref="W31" si="179">W30/(W29+W30)</f>
        <v>0</v>
      </c>
      <c r="X31" s="72">
        <f t="shared" ref="X31" si="180">X30/(X29+X30)</f>
        <v>0</v>
      </c>
      <c r="Y31" s="72">
        <f t="shared" ref="Y31" si="181">Y30/(Y29+Y30)</f>
        <v>0</v>
      </c>
      <c r="Z31" s="72">
        <f t="shared" ref="Z31" si="182">Z30/(Z29+Z30)</f>
        <v>0</v>
      </c>
      <c r="AA31" s="72">
        <f t="shared" ref="AA31" si="183">AA30/(AA29+AA30)</f>
        <v>0</v>
      </c>
      <c r="AB31" s="72">
        <f t="shared" ref="AB31" si="184">AB30/(AB29+AB30)</f>
        <v>0</v>
      </c>
      <c r="AC31" s="72">
        <f t="shared" ref="AC31" si="185">AC30/(AC29+AC30)</f>
        <v>0</v>
      </c>
      <c r="AD31" s="72">
        <f t="shared" ref="AD31" si="186">AD30/(AD29+AD30)</f>
        <v>0</v>
      </c>
      <c r="AE31" s="72">
        <f t="shared" ref="AE31" si="187">AE30/(AE29+AE30)</f>
        <v>0</v>
      </c>
      <c r="AF31" s="72">
        <f t="shared" ref="AF31" si="188">AF30/(AF29+AF30)</f>
        <v>0</v>
      </c>
      <c r="AG31" s="72">
        <f t="shared" ref="AG31" si="189">AG30/(AG29+AG30)</f>
        <v>0</v>
      </c>
      <c r="AH31" s="72">
        <f t="shared" ref="AH31" si="190">AH30/(AH29+AH30)</f>
        <v>0</v>
      </c>
      <c r="AI31" s="72">
        <f t="shared" ref="AI31" si="191">AI30/(AI29+AI30)</f>
        <v>0</v>
      </c>
      <c r="AJ31" s="72">
        <f t="shared" ref="AJ31" si="192">AJ30/(AJ29+AJ30)</f>
        <v>0</v>
      </c>
      <c r="AK31" s="72">
        <f t="shared" ref="AK31" si="193">AK30/(AK29+AK30)</f>
        <v>0</v>
      </c>
      <c r="AL31" s="72">
        <f t="shared" ref="AL31" si="194">AL30/(AL29+AL30)</f>
        <v>0</v>
      </c>
      <c r="AM31" s="72">
        <f t="shared" ref="AM31" si="195">AM30/(AM29+AM30)</f>
        <v>0</v>
      </c>
      <c r="AN31" s="72">
        <f t="shared" ref="AN31" si="196">AN30/(AN29+AN30)</f>
        <v>0</v>
      </c>
      <c r="AO31" s="72">
        <f t="shared" ref="AO31" si="197">AO30/(AO29+AO30)</f>
        <v>0</v>
      </c>
      <c r="AP31" s="72">
        <f t="shared" ref="AP31" si="198">AP30/(AP29+AP30)</f>
        <v>0</v>
      </c>
      <c r="AQ31" s="72">
        <f t="shared" ref="AQ31" si="199">AQ30/(AQ29+AQ30)</f>
        <v>0</v>
      </c>
      <c r="AR31" s="72">
        <f t="shared" ref="AR31" si="200">AR30/(AR29+AR30)</f>
        <v>0</v>
      </c>
      <c r="AS31" s="72">
        <f t="shared" ref="AS31" si="201">AS30/(AS29+AS30)</f>
        <v>0</v>
      </c>
      <c r="AT31" s="72">
        <f t="shared" ref="AT31" si="202">AT30/(AT29+AT30)</f>
        <v>0</v>
      </c>
      <c r="AU31" s="72">
        <f t="shared" ref="AU31" si="203">AU30/(AU29+AU30)</f>
        <v>0</v>
      </c>
      <c r="AV31" s="72">
        <f t="shared" ref="AV31" si="204">AV30/(AV29+AV30)</f>
        <v>0</v>
      </c>
      <c r="AW31" s="72">
        <f t="shared" ref="AW31" si="205">AW30/(AW29+AW30)</f>
        <v>0</v>
      </c>
      <c r="AX31" s="72">
        <f t="shared" ref="AX31" si="206">AX30/(AX29+AX30)</f>
        <v>0</v>
      </c>
      <c r="AY31" s="72">
        <f t="shared" ref="AY31" si="207">AY30/(AY29+AY30)</f>
        <v>0</v>
      </c>
      <c r="AZ31" s="72">
        <f t="shared" ref="AZ31" si="208">AZ30/(AZ29+AZ30)</f>
        <v>0</v>
      </c>
      <c r="BA31" s="72">
        <f t="shared" ref="BA31" si="209">BA30/(BA29+BA30)</f>
        <v>0</v>
      </c>
      <c r="BB31" s="72">
        <f t="shared" ref="BB31" si="210">BB30/(BB29+BB30)</f>
        <v>0</v>
      </c>
      <c r="BC31" s="72">
        <f t="shared" ref="BC31" si="211">BC30/(BC29+BC30)</f>
        <v>0</v>
      </c>
      <c r="BD31" s="72">
        <f t="shared" ref="BD31" si="212">BD30/(BD29+BD30)</f>
        <v>0</v>
      </c>
      <c r="BE31" s="72">
        <f t="shared" ref="BE31" si="213">BE30/(BE29+BE30)</f>
        <v>0</v>
      </c>
      <c r="BF31" s="72">
        <f t="shared" ref="BF31" si="214">BF30/(BF29+BF30)</f>
        <v>0</v>
      </c>
      <c r="BG31" s="72">
        <f t="shared" ref="BG31" si="215">BG30/(BG29+BG30)</f>
        <v>0</v>
      </c>
      <c r="BH31" s="72">
        <f t="shared" ref="BH31" si="216">BH30/(BH29+BH30)</f>
        <v>0</v>
      </c>
      <c r="BI31" s="72">
        <f t="shared" ref="BI31" si="217">BI30/(BI29+BI30)</f>
        <v>0</v>
      </c>
      <c r="BJ31" s="72">
        <f t="shared" ref="BJ31" si="218">BJ30/(BJ29+BJ30)</f>
        <v>0</v>
      </c>
    </row>
    <row r="32" spans="1:62" s="71" customFormat="1" x14ac:dyDescent="0.2">
      <c r="A32" s="71" t="s">
        <v>158</v>
      </c>
      <c r="C32" s="71">
        <f t="shared" ref="C32:AH32" si="219">IF(C31&gt;0.01,OptionPoolPercentage,0)</f>
        <v>0.1</v>
      </c>
      <c r="D32" s="71">
        <f t="shared" si="219"/>
        <v>0</v>
      </c>
      <c r="E32" s="71">
        <f t="shared" si="219"/>
        <v>0</v>
      </c>
      <c r="F32" s="71">
        <f t="shared" si="219"/>
        <v>0</v>
      </c>
      <c r="G32" s="71">
        <f t="shared" si="219"/>
        <v>0</v>
      </c>
      <c r="H32" s="71">
        <f t="shared" si="219"/>
        <v>0</v>
      </c>
      <c r="I32" s="71">
        <f t="shared" si="219"/>
        <v>0</v>
      </c>
      <c r="J32" s="71">
        <f t="shared" si="219"/>
        <v>0</v>
      </c>
      <c r="K32" s="71">
        <f t="shared" si="219"/>
        <v>0</v>
      </c>
      <c r="L32" s="71">
        <f t="shared" si="219"/>
        <v>0</v>
      </c>
      <c r="M32" s="71">
        <f t="shared" si="219"/>
        <v>0</v>
      </c>
      <c r="N32" s="71">
        <f t="shared" si="219"/>
        <v>0</v>
      </c>
      <c r="O32" s="71">
        <f t="shared" si="219"/>
        <v>0.1</v>
      </c>
      <c r="P32" s="71">
        <f t="shared" si="219"/>
        <v>0</v>
      </c>
      <c r="Q32" s="71">
        <f t="shared" si="219"/>
        <v>0</v>
      </c>
      <c r="R32" s="71">
        <f t="shared" si="219"/>
        <v>0</v>
      </c>
      <c r="S32" s="71">
        <f t="shared" si="219"/>
        <v>0</v>
      </c>
      <c r="T32" s="71">
        <f t="shared" si="219"/>
        <v>0</v>
      </c>
      <c r="U32" s="71">
        <f t="shared" si="219"/>
        <v>0</v>
      </c>
      <c r="V32" s="71">
        <f t="shared" si="219"/>
        <v>0</v>
      </c>
      <c r="W32" s="71">
        <f t="shared" si="219"/>
        <v>0</v>
      </c>
      <c r="X32" s="71">
        <f t="shared" si="219"/>
        <v>0</v>
      </c>
      <c r="Y32" s="71">
        <f t="shared" si="219"/>
        <v>0</v>
      </c>
      <c r="Z32" s="71">
        <f t="shared" si="219"/>
        <v>0</v>
      </c>
      <c r="AA32" s="71">
        <f t="shared" si="219"/>
        <v>0</v>
      </c>
      <c r="AB32" s="71">
        <f t="shared" si="219"/>
        <v>0</v>
      </c>
      <c r="AC32" s="71">
        <f t="shared" si="219"/>
        <v>0</v>
      </c>
      <c r="AD32" s="71">
        <f t="shared" si="219"/>
        <v>0</v>
      </c>
      <c r="AE32" s="71">
        <f t="shared" si="219"/>
        <v>0</v>
      </c>
      <c r="AF32" s="71">
        <f t="shared" si="219"/>
        <v>0</v>
      </c>
      <c r="AG32" s="71">
        <f t="shared" si="219"/>
        <v>0</v>
      </c>
      <c r="AH32" s="71">
        <f t="shared" si="219"/>
        <v>0</v>
      </c>
      <c r="AI32" s="71">
        <f t="shared" ref="AI32:BJ32" si="220">IF(AI31&gt;0.01,OptionPoolPercentage,0)</f>
        <v>0</v>
      </c>
      <c r="AJ32" s="71">
        <f t="shared" si="220"/>
        <v>0</v>
      </c>
      <c r="AK32" s="71">
        <f t="shared" si="220"/>
        <v>0</v>
      </c>
      <c r="AL32" s="71">
        <f t="shared" si="220"/>
        <v>0</v>
      </c>
      <c r="AM32" s="71">
        <f t="shared" si="220"/>
        <v>0</v>
      </c>
      <c r="AN32" s="71">
        <f t="shared" si="220"/>
        <v>0</v>
      </c>
      <c r="AO32" s="71">
        <f t="shared" si="220"/>
        <v>0</v>
      </c>
      <c r="AP32" s="71">
        <f t="shared" si="220"/>
        <v>0</v>
      </c>
      <c r="AQ32" s="71">
        <f t="shared" si="220"/>
        <v>0</v>
      </c>
      <c r="AR32" s="71">
        <f t="shared" si="220"/>
        <v>0</v>
      </c>
      <c r="AS32" s="71">
        <f t="shared" si="220"/>
        <v>0</v>
      </c>
      <c r="AT32" s="71">
        <f t="shared" si="220"/>
        <v>0</v>
      </c>
      <c r="AU32" s="71">
        <f t="shared" si="220"/>
        <v>0</v>
      </c>
      <c r="AV32" s="71">
        <f t="shared" si="220"/>
        <v>0</v>
      </c>
      <c r="AW32" s="71">
        <f t="shared" si="220"/>
        <v>0</v>
      </c>
      <c r="AX32" s="71">
        <f t="shared" si="220"/>
        <v>0</v>
      </c>
      <c r="AY32" s="71">
        <f t="shared" si="220"/>
        <v>0</v>
      </c>
      <c r="AZ32" s="71">
        <f t="shared" si="220"/>
        <v>0</v>
      </c>
      <c r="BA32" s="71">
        <f t="shared" si="220"/>
        <v>0</v>
      </c>
      <c r="BB32" s="71">
        <f t="shared" si="220"/>
        <v>0</v>
      </c>
      <c r="BC32" s="71">
        <f t="shared" si="220"/>
        <v>0</v>
      </c>
      <c r="BD32" s="71">
        <f t="shared" si="220"/>
        <v>0</v>
      </c>
      <c r="BE32" s="71">
        <f t="shared" si="220"/>
        <v>0</v>
      </c>
      <c r="BF32" s="71">
        <f t="shared" si="220"/>
        <v>0</v>
      </c>
      <c r="BG32" s="71">
        <f t="shared" si="220"/>
        <v>0</v>
      </c>
      <c r="BH32" s="71">
        <f t="shared" si="220"/>
        <v>0</v>
      </c>
      <c r="BI32" s="71">
        <f t="shared" si="220"/>
        <v>0</v>
      </c>
      <c r="BJ32" s="71">
        <f t="shared" si="220"/>
        <v>0</v>
      </c>
    </row>
    <row r="33" spans="1:62" s="71" customFormat="1" x14ac:dyDescent="0.2">
      <c r="A33" s="71" t="s">
        <v>159</v>
      </c>
      <c r="C33" s="71">
        <f>1-(C31+C32)</f>
        <v>0.65</v>
      </c>
      <c r="D33" s="71">
        <f>1-(D31+D32)</f>
        <v>1</v>
      </c>
      <c r="E33" s="71">
        <f t="shared" ref="E33:O33" si="221">1-(E31+E32)</f>
        <v>1</v>
      </c>
      <c r="F33" s="71">
        <f t="shared" si="221"/>
        <v>1</v>
      </c>
      <c r="G33" s="71">
        <f t="shared" si="221"/>
        <v>1</v>
      </c>
      <c r="H33" s="71">
        <f t="shared" si="221"/>
        <v>1</v>
      </c>
      <c r="I33" s="71">
        <f t="shared" si="221"/>
        <v>1</v>
      </c>
      <c r="J33" s="71">
        <f t="shared" si="221"/>
        <v>1</v>
      </c>
      <c r="K33" s="71">
        <f t="shared" si="221"/>
        <v>1</v>
      </c>
      <c r="L33" s="71">
        <f t="shared" si="221"/>
        <v>1</v>
      </c>
      <c r="M33" s="71">
        <f t="shared" si="221"/>
        <v>1</v>
      </c>
      <c r="N33" s="71">
        <f t="shared" si="221"/>
        <v>1</v>
      </c>
      <c r="O33" s="71">
        <f t="shared" si="221"/>
        <v>0.61519671232105289</v>
      </c>
      <c r="P33" s="71">
        <f t="shared" ref="P33" si="222">1-(P31+P32)</f>
        <v>1</v>
      </c>
      <c r="Q33" s="71">
        <f t="shared" ref="Q33" si="223">1-(Q31+Q32)</f>
        <v>1</v>
      </c>
      <c r="R33" s="71">
        <f t="shared" ref="R33" si="224">1-(R31+R32)</f>
        <v>1</v>
      </c>
      <c r="S33" s="71">
        <f t="shared" ref="S33" si="225">1-(S31+S32)</f>
        <v>1</v>
      </c>
      <c r="T33" s="71">
        <f t="shared" ref="T33" si="226">1-(T31+T32)</f>
        <v>1</v>
      </c>
      <c r="U33" s="71">
        <f t="shared" ref="U33" si="227">1-(U31+U32)</f>
        <v>1</v>
      </c>
      <c r="V33" s="71">
        <f t="shared" ref="V33" si="228">1-(V31+V32)</f>
        <v>1</v>
      </c>
      <c r="W33" s="71">
        <f t="shared" ref="W33" si="229">1-(W31+W32)</f>
        <v>1</v>
      </c>
      <c r="X33" s="71">
        <f t="shared" ref="X33" si="230">1-(X31+X32)</f>
        <v>1</v>
      </c>
      <c r="Y33" s="71">
        <f t="shared" ref="Y33" si="231">1-(Y31+Y32)</f>
        <v>1</v>
      </c>
      <c r="Z33" s="71">
        <f t="shared" ref="Z33" si="232">1-(Z31+Z32)</f>
        <v>1</v>
      </c>
      <c r="AA33" s="71">
        <f t="shared" ref="AA33" si="233">1-(AA31+AA32)</f>
        <v>1</v>
      </c>
      <c r="AB33" s="71">
        <f t="shared" ref="AB33" si="234">1-(AB31+AB32)</f>
        <v>1</v>
      </c>
      <c r="AC33" s="71">
        <f t="shared" ref="AC33" si="235">1-(AC31+AC32)</f>
        <v>1</v>
      </c>
      <c r="AD33" s="71">
        <f t="shared" ref="AD33" si="236">1-(AD31+AD32)</f>
        <v>1</v>
      </c>
      <c r="AE33" s="71">
        <f t="shared" ref="AE33" si="237">1-(AE31+AE32)</f>
        <v>1</v>
      </c>
      <c r="AF33" s="71">
        <f t="shared" ref="AF33" si="238">1-(AF31+AF32)</f>
        <v>1</v>
      </c>
      <c r="AG33" s="71">
        <f t="shared" ref="AG33" si="239">1-(AG31+AG32)</f>
        <v>1</v>
      </c>
      <c r="AH33" s="71">
        <f t="shared" ref="AH33" si="240">1-(AH31+AH32)</f>
        <v>1</v>
      </c>
      <c r="AI33" s="71">
        <f t="shared" ref="AI33" si="241">1-(AI31+AI32)</f>
        <v>1</v>
      </c>
      <c r="AJ33" s="71">
        <f t="shared" ref="AJ33" si="242">1-(AJ31+AJ32)</f>
        <v>1</v>
      </c>
      <c r="AK33" s="71">
        <f t="shared" ref="AK33" si="243">1-(AK31+AK32)</f>
        <v>1</v>
      </c>
      <c r="AL33" s="71">
        <f t="shared" ref="AL33" si="244">1-(AL31+AL32)</f>
        <v>1</v>
      </c>
      <c r="AM33" s="71">
        <f t="shared" ref="AM33" si="245">1-(AM31+AM32)</f>
        <v>1</v>
      </c>
      <c r="AN33" s="71">
        <f t="shared" ref="AN33" si="246">1-(AN31+AN32)</f>
        <v>1</v>
      </c>
      <c r="AO33" s="71">
        <f t="shared" ref="AO33" si="247">1-(AO31+AO32)</f>
        <v>1</v>
      </c>
      <c r="AP33" s="71">
        <f t="shared" ref="AP33" si="248">1-(AP31+AP32)</f>
        <v>1</v>
      </c>
      <c r="AQ33" s="71">
        <f t="shared" ref="AQ33" si="249">1-(AQ31+AQ32)</f>
        <v>1</v>
      </c>
      <c r="AR33" s="71">
        <f t="shared" ref="AR33" si="250">1-(AR31+AR32)</f>
        <v>1</v>
      </c>
      <c r="AS33" s="71">
        <f t="shared" ref="AS33" si="251">1-(AS31+AS32)</f>
        <v>1</v>
      </c>
      <c r="AT33" s="71">
        <f t="shared" ref="AT33" si="252">1-(AT31+AT32)</f>
        <v>1</v>
      </c>
      <c r="AU33" s="71">
        <f t="shared" ref="AU33" si="253">1-(AU31+AU32)</f>
        <v>1</v>
      </c>
      <c r="AV33" s="71">
        <f t="shared" ref="AV33" si="254">1-(AV31+AV32)</f>
        <v>1</v>
      </c>
      <c r="AW33" s="71">
        <f t="shared" ref="AW33" si="255">1-(AW31+AW32)</f>
        <v>1</v>
      </c>
      <c r="AX33" s="71">
        <f t="shared" ref="AX33" si="256">1-(AX31+AX32)</f>
        <v>1</v>
      </c>
      <c r="AY33" s="71">
        <f t="shared" ref="AY33" si="257">1-(AY31+AY32)</f>
        <v>1</v>
      </c>
      <c r="AZ33" s="71">
        <f t="shared" ref="AZ33" si="258">1-(AZ31+AZ32)</f>
        <v>1</v>
      </c>
      <c r="BA33" s="71">
        <f t="shared" ref="BA33" si="259">1-(BA31+BA32)</f>
        <v>1</v>
      </c>
      <c r="BB33" s="71">
        <f t="shared" ref="BB33" si="260">1-(BB31+BB32)</f>
        <v>1</v>
      </c>
      <c r="BC33" s="71">
        <f t="shared" ref="BC33" si="261">1-(BC31+BC32)</f>
        <v>1</v>
      </c>
      <c r="BD33" s="71">
        <f t="shared" ref="BD33" si="262">1-(BD31+BD32)</f>
        <v>1</v>
      </c>
      <c r="BE33" s="71">
        <f t="shared" ref="BE33" si="263">1-(BE31+BE32)</f>
        <v>1</v>
      </c>
      <c r="BF33" s="71">
        <f t="shared" ref="BF33" si="264">1-(BF31+BF32)</f>
        <v>1</v>
      </c>
      <c r="BG33" s="71">
        <f t="shared" ref="BG33" si="265">1-(BG31+BG32)</f>
        <v>1</v>
      </c>
      <c r="BH33" s="71">
        <f t="shared" ref="BH33" si="266">1-(BH31+BH32)</f>
        <v>1</v>
      </c>
      <c r="BI33" s="71">
        <f t="shared" ref="BI33" si="267">1-(BI31+BI32)</f>
        <v>1</v>
      </c>
      <c r="BJ33" s="71">
        <f t="shared" ref="BJ33" si="268">1-(BJ31+BJ32)</f>
        <v>1</v>
      </c>
    </row>
    <row r="34" spans="1:62" s="71" customFormat="1" x14ac:dyDescent="0.2">
      <c r="A34" s="71" t="s">
        <v>160</v>
      </c>
      <c r="C34" s="71">
        <f>C33</f>
        <v>0.65</v>
      </c>
      <c r="D34" s="73">
        <f>C34*D33</f>
        <v>0.65</v>
      </c>
      <c r="E34" s="73">
        <f t="shared" ref="E34:O34" si="269">D34*E33</f>
        <v>0.65</v>
      </c>
      <c r="F34" s="73">
        <f t="shared" si="269"/>
        <v>0.65</v>
      </c>
      <c r="G34" s="73">
        <f t="shared" si="269"/>
        <v>0.65</v>
      </c>
      <c r="H34" s="73">
        <f t="shared" si="269"/>
        <v>0.65</v>
      </c>
      <c r="I34" s="73">
        <f t="shared" si="269"/>
        <v>0.65</v>
      </c>
      <c r="J34" s="73">
        <f t="shared" si="269"/>
        <v>0.65</v>
      </c>
      <c r="K34" s="73">
        <f t="shared" si="269"/>
        <v>0.65</v>
      </c>
      <c r="L34" s="73">
        <f t="shared" si="269"/>
        <v>0.65</v>
      </c>
      <c r="M34" s="73">
        <f t="shared" si="269"/>
        <v>0.65</v>
      </c>
      <c r="N34" s="73">
        <f t="shared" si="269"/>
        <v>0.65</v>
      </c>
      <c r="O34" s="73">
        <f t="shared" si="269"/>
        <v>0.39987786300868439</v>
      </c>
      <c r="P34" s="73">
        <f t="shared" ref="P34" si="270">O34*P33</f>
        <v>0.39987786300868439</v>
      </c>
      <c r="Q34" s="73">
        <f t="shared" ref="Q34" si="271">P34*Q33</f>
        <v>0.39987786300868439</v>
      </c>
      <c r="R34" s="73">
        <f t="shared" ref="R34" si="272">Q34*R33</f>
        <v>0.39987786300868439</v>
      </c>
      <c r="S34" s="73">
        <f t="shared" ref="S34" si="273">R34*S33</f>
        <v>0.39987786300868439</v>
      </c>
      <c r="T34" s="73">
        <f t="shared" ref="T34" si="274">S34*T33</f>
        <v>0.39987786300868439</v>
      </c>
      <c r="U34" s="73">
        <f t="shared" ref="U34" si="275">T34*U33</f>
        <v>0.39987786300868439</v>
      </c>
      <c r="V34" s="73">
        <f t="shared" ref="V34" si="276">U34*V33</f>
        <v>0.39987786300868439</v>
      </c>
      <c r="W34" s="73">
        <f t="shared" ref="W34" si="277">V34*W33</f>
        <v>0.39987786300868439</v>
      </c>
      <c r="X34" s="73">
        <f t="shared" ref="X34" si="278">W34*X33</f>
        <v>0.39987786300868439</v>
      </c>
      <c r="Y34" s="73">
        <f t="shared" ref="Y34" si="279">X34*Y33</f>
        <v>0.39987786300868439</v>
      </c>
      <c r="Z34" s="73">
        <f t="shared" ref="Z34" si="280">Y34*Z33</f>
        <v>0.39987786300868439</v>
      </c>
      <c r="AA34" s="73">
        <f t="shared" ref="AA34" si="281">Z34*AA33</f>
        <v>0.39987786300868439</v>
      </c>
      <c r="AB34" s="73">
        <f t="shared" ref="AB34" si="282">AA34*AB33</f>
        <v>0.39987786300868439</v>
      </c>
      <c r="AC34" s="73">
        <f t="shared" ref="AC34" si="283">AB34*AC33</f>
        <v>0.39987786300868439</v>
      </c>
      <c r="AD34" s="73">
        <f t="shared" ref="AD34" si="284">AC34*AD33</f>
        <v>0.39987786300868439</v>
      </c>
      <c r="AE34" s="73">
        <f t="shared" ref="AE34" si="285">AD34*AE33</f>
        <v>0.39987786300868439</v>
      </c>
      <c r="AF34" s="73">
        <f t="shared" ref="AF34" si="286">AE34*AF33</f>
        <v>0.39987786300868439</v>
      </c>
      <c r="AG34" s="73">
        <f t="shared" ref="AG34" si="287">AF34*AG33</f>
        <v>0.39987786300868439</v>
      </c>
      <c r="AH34" s="73">
        <f t="shared" ref="AH34" si="288">AG34*AH33</f>
        <v>0.39987786300868439</v>
      </c>
      <c r="AI34" s="73">
        <f t="shared" ref="AI34" si="289">AH34*AI33</f>
        <v>0.39987786300868439</v>
      </c>
      <c r="AJ34" s="73">
        <f t="shared" ref="AJ34" si="290">AI34*AJ33</f>
        <v>0.39987786300868439</v>
      </c>
      <c r="AK34" s="73">
        <f t="shared" ref="AK34" si="291">AJ34*AK33</f>
        <v>0.39987786300868439</v>
      </c>
      <c r="AL34" s="73">
        <f t="shared" ref="AL34" si="292">AK34*AL33</f>
        <v>0.39987786300868439</v>
      </c>
      <c r="AM34" s="73">
        <f t="shared" ref="AM34" si="293">AL34*AM33</f>
        <v>0.39987786300868439</v>
      </c>
      <c r="AN34" s="73">
        <f t="shared" ref="AN34" si="294">AM34*AN33</f>
        <v>0.39987786300868439</v>
      </c>
      <c r="AO34" s="73">
        <f t="shared" ref="AO34" si="295">AN34*AO33</f>
        <v>0.39987786300868439</v>
      </c>
      <c r="AP34" s="73">
        <f t="shared" ref="AP34" si="296">AO34*AP33</f>
        <v>0.39987786300868439</v>
      </c>
      <c r="AQ34" s="73">
        <f t="shared" ref="AQ34" si="297">AP34*AQ33</f>
        <v>0.39987786300868439</v>
      </c>
      <c r="AR34" s="73">
        <f t="shared" ref="AR34" si="298">AQ34*AR33</f>
        <v>0.39987786300868439</v>
      </c>
      <c r="AS34" s="73">
        <f t="shared" ref="AS34" si="299">AR34*AS33</f>
        <v>0.39987786300868439</v>
      </c>
      <c r="AT34" s="73">
        <f t="shared" ref="AT34" si="300">AS34*AT33</f>
        <v>0.39987786300868439</v>
      </c>
      <c r="AU34" s="73">
        <f t="shared" ref="AU34" si="301">AT34*AU33</f>
        <v>0.39987786300868439</v>
      </c>
      <c r="AV34" s="73">
        <f t="shared" ref="AV34" si="302">AU34*AV33</f>
        <v>0.39987786300868439</v>
      </c>
      <c r="AW34" s="73">
        <f t="shared" ref="AW34" si="303">AV34*AW33</f>
        <v>0.39987786300868439</v>
      </c>
      <c r="AX34" s="73">
        <f t="shared" ref="AX34" si="304">AW34*AX33</f>
        <v>0.39987786300868439</v>
      </c>
      <c r="AY34" s="73">
        <f t="shared" ref="AY34" si="305">AX34*AY33</f>
        <v>0.39987786300868439</v>
      </c>
      <c r="AZ34" s="73">
        <f t="shared" ref="AZ34" si="306">AY34*AZ33</f>
        <v>0.39987786300868439</v>
      </c>
      <c r="BA34" s="73">
        <f t="shared" ref="BA34" si="307">AZ34*BA33</f>
        <v>0.39987786300868439</v>
      </c>
      <c r="BB34" s="73">
        <f t="shared" ref="BB34" si="308">BA34*BB33</f>
        <v>0.39987786300868439</v>
      </c>
      <c r="BC34" s="73">
        <f t="shared" ref="BC34" si="309">BB34*BC33</f>
        <v>0.39987786300868439</v>
      </c>
      <c r="BD34" s="73">
        <f t="shared" ref="BD34" si="310">BC34*BD33</f>
        <v>0.39987786300868439</v>
      </c>
      <c r="BE34" s="73">
        <f t="shared" ref="BE34" si="311">BD34*BE33</f>
        <v>0.39987786300868439</v>
      </c>
      <c r="BF34" s="73">
        <f t="shared" ref="BF34" si="312">BE34*BF33</f>
        <v>0.39987786300868439</v>
      </c>
      <c r="BG34" s="73">
        <f t="shared" ref="BG34" si="313">BF34*BG33</f>
        <v>0.39987786300868439</v>
      </c>
      <c r="BH34" s="73">
        <f t="shared" ref="BH34" si="314">BG34*BH33</f>
        <v>0.39987786300868439</v>
      </c>
      <c r="BI34" s="73">
        <f t="shared" ref="BI34" si="315">BH34*BI33</f>
        <v>0.39987786300868439</v>
      </c>
      <c r="BJ34" s="73">
        <f t="shared" ref="BJ34" si="316">BI34*BJ33</f>
        <v>0.39987786300868439</v>
      </c>
    </row>
  </sheetData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J3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5" sqref="F15"/>
    </sheetView>
    <sheetView zoomScale="210" zoomScaleNormal="210" zoomScalePageLayoutView="180" workbookViewId="1">
      <pane xSplit="2" ySplit="2" topLeftCell="C3" activePane="bottomRight" state="frozen"/>
      <selection activeCell="C56" sqref="C56"/>
      <selection pane="topRight" activeCell="C56" sqref="C56"/>
      <selection pane="bottomLeft" activeCell="C56" sqref="C56"/>
      <selection pane="bottomRight" activeCell="C56" sqref="C56"/>
    </sheetView>
  </sheetViews>
  <sheetFormatPr baseColWidth="10" defaultRowHeight="16" x14ac:dyDescent="0.2"/>
  <cols>
    <col min="1" max="1" width="3.5" customWidth="1"/>
    <col min="2" max="2" width="38.83203125" bestFit="1" customWidth="1"/>
    <col min="3" max="10" width="11.5" bestFit="1" customWidth="1"/>
    <col min="11" max="14" width="10.6640625" bestFit="1" customWidth="1"/>
    <col min="15" max="37" width="11.5" bestFit="1" customWidth="1"/>
    <col min="38" max="62" width="10.6640625" bestFit="1" customWidth="1"/>
  </cols>
  <sheetData>
    <row r="1" spans="1:62" s="1" customFormat="1" x14ac:dyDescent="0.2">
      <c r="A1" s="1" t="s">
        <v>97</v>
      </c>
      <c r="C1" s="1" t="s">
        <v>0</v>
      </c>
    </row>
    <row r="2" spans="1:62" s="2" customFormat="1" x14ac:dyDescent="0.2">
      <c r="C2" s="91">
        <v>43480</v>
      </c>
      <c r="D2" s="91">
        <v>43510</v>
      </c>
      <c r="E2" s="91">
        <v>43540</v>
      </c>
      <c r="F2" s="91">
        <v>43570</v>
      </c>
      <c r="G2" s="91">
        <v>43600</v>
      </c>
      <c r="H2" s="74">
        <f>'Monthly Income Statement'!H2</f>
        <v>43630</v>
      </c>
      <c r="I2" s="74">
        <f>'Monthly Income Statement'!I2</f>
        <v>43660</v>
      </c>
      <c r="J2" s="74">
        <f>'Monthly Income Statement'!J2</f>
        <v>43690</v>
      </c>
      <c r="K2" s="74">
        <f>'Monthly Income Statement'!K2</f>
        <v>43720</v>
      </c>
      <c r="L2" s="74">
        <f>'Monthly Income Statement'!L2</f>
        <v>43750</v>
      </c>
      <c r="M2" s="74">
        <f>'Monthly Income Statement'!M2</f>
        <v>43780</v>
      </c>
      <c r="N2" s="74">
        <f>'Monthly Income Statement'!N2</f>
        <v>43810</v>
      </c>
      <c r="O2" s="74">
        <f>'Monthly Income Statement'!O2</f>
        <v>43840</v>
      </c>
      <c r="P2" s="74">
        <f>'Monthly Income Statement'!P2</f>
        <v>43870</v>
      </c>
      <c r="Q2" s="74">
        <f>'Monthly Income Statement'!Q2</f>
        <v>43900</v>
      </c>
      <c r="R2" s="74">
        <f>'Monthly Income Statement'!R2</f>
        <v>43930</v>
      </c>
      <c r="S2" s="74">
        <f>'Monthly Income Statement'!S2</f>
        <v>43960</v>
      </c>
      <c r="T2" s="74">
        <f>'Monthly Income Statement'!T2</f>
        <v>43990</v>
      </c>
      <c r="U2" s="74">
        <f>'Monthly Income Statement'!U2</f>
        <v>44020</v>
      </c>
      <c r="V2" s="74">
        <f>'Monthly Income Statement'!V2</f>
        <v>44050</v>
      </c>
      <c r="W2" s="74">
        <f>'Monthly Income Statement'!W2</f>
        <v>44080</v>
      </c>
      <c r="X2" s="74">
        <f>'Monthly Income Statement'!X2</f>
        <v>44110</v>
      </c>
      <c r="Y2" s="74">
        <f>'Monthly Income Statement'!Y2</f>
        <v>44140</v>
      </c>
      <c r="Z2" s="74">
        <f>'Monthly Income Statement'!Z2</f>
        <v>44170</v>
      </c>
      <c r="AA2" s="74">
        <f>'Monthly Income Statement'!AA2</f>
        <v>43845</v>
      </c>
      <c r="AB2" s="74">
        <f>'Monthly Income Statement'!AB2</f>
        <v>43875</v>
      </c>
      <c r="AC2" s="74">
        <f>'Monthly Income Statement'!AC2</f>
        <v>43905</v>
      </c>
      <c r="AD2" s="74">
        <f>'Monthly Income Statement'!AD2</f>
        <v>43935</v>
      </c>
      <c r="AE2" s="74">
        <f>'Monthly Income Statement'!AE2</f>
        <v>43965</v>
      </c>
      <c r="AF2" s="74">
        <f>'Monthly Income Statement'!AF2</f>
        <v>43995</v>
      </c>
      <c r="AG2" s="74">
        <f>'Monthly Income Statement'!AG2</f>
        <v>44025</v>
      </c>
      <c r="AH2" s="74">
        <f>'Monthly Income Statement'!AH2</f>
        <v>44055</v>
      </c>
      <c r="AI2" s="74">
        <f>'Monthly Income Statement'!AI2</f>
        <v>44085</v>
      </c>
      <c r="AJ2" s="74">
        <f>'Monthly Income Statement'!AJ2</f>
        <v>44115</v>
      </c>
      <c r="AK2" s="74">
        <f>'Monthly Income Statement'!AK2</f>
        <v>44145</v>
      </c>
      <c r="AL2" s="74">
        <f>'Monthly Income Statement'!AL2</f>
        <v>44175</v>
      </c>
      <c r="AM2" s="74">
        <f>'Monthly Income Statement'!AM2</f>
        <v>44205</v>
      </c>
      <c r="AN2" s="74">
        <f>'Monthly Income Statement'!AN2</f>
        <v>44235</v>
      </c>
      <c r="AO2" s="74">
        <f>'Monthly Income Statement'!AO2</f>
        <v>44265</v>
      </c>
      <c r="AP2" s="74">
        <f>'Monthly Income Statement'!AP2</f>
        <v>44295</v>
      </c>
      <c r="AQ2" s="74">
        <f>'Monthly Income Statement'!AQ2</f>
        <v>44325</v>
      </c>
      <c r="AR2" s="74">
        <f>'Monthly Income Statement'!AR2</f>
        <v>44355</v>
      </c>
      <c r="AS2" s="74">
        <f>'Monthly Income Statement'!AS2</f>
        <v>44385</v>
      </c>
      <c r="AT2" s="74">
        <f>'Monthly Income Statement'!AT2</f>
        <v>44415</v>
      </c>
      <c r="AU2" s="74">
        <f>'Monthly Income Statement'!AU2</f>
        <v>44445</v>
      </c>
      <c r="AV2" s="74">
        <f>'Monthly Income Statement'!AV2</f>
        <v>44475</v>
      </c>
      <c r="AW2" s="74">
        <f>'Monthly Income Statement'!AW2</f>
        <v>44505</v>
      </c>
      <c r="AX2" s="74">
        <f>'Monthly Income Statement'!AX2</f>
        <v>44535</v>
      </c>
      <c r="AY2" s="74">
        <f>'Monthly Income Statement'!AY2</f>
        <v>44576</v>
      </c>
      <c r="AZ2" s="74">
        <f>'Monthly Income Statement'!AZ2</f>
        <v>44606</v>
      </c>
      <c r="BA2" s="74">
        <f>'Monthly Income Statement'!BA2</f>
        <v>44636</v>
      </c>
      <c r="BB2" s="74">
        <f>'Monthly Income Statement'!BB2</f>
        <v>44666</v>
      </c>
      <c r="BC2" s="74">
        <f>'Monthly Income Statement'!BC2</f>
        <v>44696</v>
      </c>
      <c r="BD2" s="74">
        <f>'Monthly Income Statement'!BD2</f>
        <v>44726</v>
      </c>
      <c r="BE2" s="74">
        <f>'Monthly Income Statement'!BE2</f>
        <v>44756</v>
      </c>
      <c r="BF2" s="74">
        <f>'Monthly Income Statement'!BF2</f>
        <v>44786</v>
      </c>
      <c r="BG2" s="74">
        <f>'Monthly Income Statement'!BG2</f>
        <v>44816</v>
      </c>
      <c r="BH2" s="74">
        <f>'Monthly Income Statement'!BH2</f>
        <v>44846</v>
      </c>
      <c r="BI2" s="74">
        <f>'Monthly Income Statement'!BI2</f>
        <v>44876</v>
      </c>
      <c r="BJ2" s="74">
        <f>'Monthly Income Statement'!BJ2</f>
        <v>44906</v>
      </c>
    </row>
    <row r="3" spans="1:62" x14ac:dyDescent="0.2">
      <c r="B3" t="s">
        <v>119</v>
      </c>
      <c r="C3" s="79">
        <v>0</v>
      </c>
      <c r="D3" s="80">
        <f t="shared" ref="D3:P3" si="0">C27</f>
        <v>967395.34207833337</v>
      </c>
      <c r="E3" s="80">
        <f t="shared" si="0"/>
        <v>928367.55163566675</v>
      </c>
      <c r="F3" s="80">
        <f t="shared" si="0"/>
        <v>883581.48974880006</v>
      </c>
      <c r="G3" s="80">
        <f t="shared" si="0"/>
        <v>802868.5053202667</v>
      </c>
      <c r="H3" s="22">
        <f t="shared" si="0"/>
        <v>699900.31405093335</v>
      </c>
      <c r="I3" s="22">
        <f t="shared" si="0"/>
        <v>622393.36014400749</v>
      </c>
      <c r="J3" s="22">
        <f t="shared" si="0"/>
        <v>541425.55697378376</v>
      </c>
      <c r="K3" s="22">
        <f t="shared" si="0"/>
        <v>462034.26038381865</v>
      </c>
      <c r="L3" s="22">
        <f t="shared" si="0"/>
        <v>384198.35709227732</v>
      </c>
      <c r="M3" s="22">
        <f t="shared" si="0"/>
        <v>307928.97242752777</v>
      </c>
      <c r="N3" s="22">
        <f t="shared" si="0"/>
        <v>233190.72670577531</v>
      </c>
      <c r="O3" s="22">
        <f t="shared" si="0"/>
        <v>159974.97070047163</v>
      </c>
      <c r="P3" s="22">
        <f t="shared" si="0"/>
        <v>2583807.0981985587</v>
      </c>
      <c r="Q3" s="22">
        <f t="shared" ref="Q3:BJ3" si="1">P27</f>
        <v>2492249.7670437112</v>
      </c>
      <c r="R3" s="22">
        <f t="shared" si="1"/>
        <v>2412176.4117360725</v>
      </c>
      <c r="S3" s="22">
        <f t="shared" si="1"/>
        <v>2333586.2653482528</v>
      </c>
      <c r="T3" s="22">
        <f t="shared" si="1"/>
        <v>2256465.5469648363</v>
      </c>
      <c r="U3" s="22">
        <f t="shared" si="1"/>
        <v>2180791.3101656656</v>
      </c>
      <c r="V3" s="22">
        <f t="shared" si="1"/>
        <v>2106550.488269656</v>
      </c>
      <c r="W3" s="22">
        <f t="shared" si="1"/>
        <v>2033745.2991409451</v>
      </c>
      <c r="X3" s="22">
        <f t="shared" si="1"/>
        <v>1962395.4825420645</v>
      </c>
      <c r="Y3" s="22">
        <f t="shared" si="1"/>
        <v>1894467.46534928</v>
      </c>
      <c r="Z3" s="22">
        <f t="shared" si="1"/>
        <v>1810871.319815336</v>
      </c>
      <c r="AA3" s="22">
        <f t="shared" si="1"/>
        <v>1738482.6123882155</v>
      </c>
      <c r="AB3" s="22">
        <f t="shared" si="1"/>
        <v>1667317.8158652242</v>
      </c>
      <c r="AC3" s="22">
        <f t="shared" si="1"/>
        <v>1597350.0779765376</v>
      </c>
      <c r="AD3" s="22">
        <f t="shared" si="1"/>
        <v>1528606.814119156</v>
      </c>
      <c r="AE3" s="22">
        <f t="shared" si="1"/>
        <v>1461100.9727053118</v>
      </c>
      <c r="AF3" s="22">
        <f t="shared" si="1"/>
        <v>1394838.4141086605</v>
      </c>
      <c r="AG3" s="22">
        <f t="shared" si="1"/>
        <v>1329849.5783409863</v>
      </c>
      <c r="AH3" s="22">
        <f t="shared" si="1"/>
        <v>1266138.4190172721</v>
      </c>
      <c r="AI3" s="22">
        <f t="shared" si="1"/>
        <v>1203756.3613918212</v>
      </c>
      <c r="AJ3" s="22">
        <f t="shared" si="1"/>
        <v>1142721.3038206119</v>
      </c>
      <c r="AK3" s="22">
        <f t="shared" si="1"/>
        <v>1083089.8787988403</v>
      </c>
      <c r="AL3" s="22">
        <f t="shared" si="1"/>
        <v>1024931.8592100495</v>
      </c>
      <c r="AM3" s="22">
        <f t="shared" si="1"/>
        <v>968277.31514181534</v>
      </c>
      <c r="AN3" s="22">
        <f t="shared" si="1"/>
        <v>913220.88461153128</v>
      </c>
      <c r="AO3" s="22">
        <f t="shared" si="1"/>
        <v>859863.99964229669</v>
      </c>
      <c r="AP3" s="22">
        <f t="shared" si="1"/>
        <v>808275.63836528291</v>
      </c>
      <c r="AQ3" s="22">
        <f t="shared" si="1"/>
        <v>758583.41261309292</v>
      </c>
      <c r="AR3" s="22">
        <f t="shared" si="1"/>
        <v>710918.48885494529</v>
      </c>
      <c r="AS3" s="22">
        <f t="shared" si="1"/>
        <v>665405.04066002648</v>
      </c>
      <c r="AT3" s="22">
        <f t="shared" si="1"/>
        <v>622236.58475810545</v>
      </c>
      <c r="AU3" s="22">
        <f t="shared" si="1"/>
        <v>581553.86271768168</v>
      </c>
      <c r="AV3" s="22">
        <f t="shared" si="1"/>
        <v>543594.49070819351</v>
      </c>
      <c r="AW3" s="22">
        <f t="shared" si="1"/>
        <v>508545.46833083156</v>
      </c>
      <c r="AX3" s="22">
        <f t="shared" si="1"/>
        <v>476688.4270393597</v>
      </c>
      <c r="AY3" s="22">
        <f t="shared" si="1"/>
        <v>448309.56127631018</v>
      </c>
      <c r="AZ3" s="22">
        <f t="shared" si="1"/>
        <v>423707.42147432908</v>
      </c>
      <c r="BA3" s="22">
        <f t="shared" si="1"/>
        <v>403247.96675991954</v>
      </c>
      <c r="BB3" s="22">
        <f t="shared" si="1"/>
        <v>387319.7681592374</v>
      </c>
      <c r="BC3" s="22">
        <f t="shared" si="1"/>
        <v>376314.72303126805</v>
      </c>
      <c r="BD3" s="22">
        <f t="shared" si="1"/>
        <v>370764.4302364543</v>
      </c>
      <c r="BE3" s="22">
        <f t="shared" si="1"/>
        <v>371202.47692563717</v>
      </c>
      <c r="BF3" s="22">
        <f t="shared" si="1"/>
        <v>380013.17060211679</v>
      </c>
      <c r="BG3" s="22">
        <f t="shared" si="1"/>
        <v>379184.88053854852</v>
      </c>
      <c r="BH3" s="22">
        <f t="shared" si="1"/>
        <v>396375.25237893406</v>
      </c>
      <c r="BI3" s="22">
        <f t="shared" si="1"/>
        <v>422416.03005790937</v>
      </c>
      <c r="BJ3" s="22">
        <f t="shared" si="1"/>
        <v>458228.48834594706</v>
      </c>
    </row>
    <row r="4" spans="1:62" x14ac:dyDescent="0.2">
      <c r="C4" s="79"/>
      <c r="D4" s="79"/>
      <c r="E4" s="79"/>
      <c r="F4" s="79"/>
      <c r="G4" s="79"/>
    </row>
    <row r="5" spans="1:62" x14ac:dyDescent="0.2">
      <c r="B5" s="37" t="s">
        <v>120</v>
      </c>
      <c r="C5" s="78"/>
      <c r="D5" s="79"/>
      <c r="E5" s="79"/>
      <c r="F5" s="79"/>
      <c r="G5" s="79"/>
    </row>
    <row r="6" spans="1:62" x14ac:dyDescent="0.2">
      <c r="B6" s="38" t="s">
        <v>121</v>
      </c>
      <c r="C6" s="78">
        <f>'Monthly Income Statement'!C8</f>
        <v>3613.2637449999997</v>
      </c>
      <c r="D6" s="78">
        <f>'Monthly Income Statement'!D8</f>
        <v>3941.3917240000001</v>
      </c>
      <c r="E6" s="78">
        <f>'Monthly Income Statement'!E8</f>
        <v>4353.519779799999</v>
      </c>
      <c r="F6" s="78">
        <f>'Monthly Income Statement'!F8</f>
        <v>4916.8579048000001</v>
      </c>
      <c r="G6" s="78">
        <f>'Monthly Income Statement'!G8</f>
        <v>22465.296064000002</v>
      </c>
      <c r="H6" s="1">
        <f>'Monthly Income Statement'!H8</f>
        <v>27610.358507556801</v>
      </c>
      <c r="I6" s="1">
        <f>'Monthly Income Statement'!I8</f>
        <v>32527.912440786335</v>
      </c>
      <c r="J6" s="1">
        <f>'Monthly Income Statement'!J8</f>
        <v>37320.299512205049</v>
      </c>
      <c r="K6" s="1">
        <f>'Monthly Income Statement'!K8</f>
        <v>42060.449435936134</v>
      </c>
      <c r="L6" s="1">
        <f>'Monthly Income Statement'!L8</f>
        <v>46633.079988839345</v>
      </c>
      <c r="M6" s="1">
        <f>'Monthly Income Statement'!M8</f>
        <v>51119.976332605707</v>
      </c>
      <c r="N6" s="1">
        <f>'Monthly Income Statement'!N8</f>
        <v>55502.594298365722</v>
      </c>
      <c r="O6" s="1">
        <f>'Monthly Income Statement'!O8</f>
        <v>59824.80093850226</v>
      </c>
      <c r="P6" s="1">
        <f>'Monthly Income Statement'!P8</f>
        <v>64042.795471070058</v>
      </c>
      <c r="Q6" s="1">
        <f>'Monthly Income Statement'!Q8</f>
        <v>68207.000890998723</v>
      </c>
      <c r="R6" s="1">
        <f>'Monthly Income Statement'!R8</f>
        <v>72258.875224502481</v>
      </c>
      <c r="S6" s="1">
        <f>'Monthly Income Statement'!S8</f>
        <v>76246.805385299464</v>
      </c>
      <c r="T6" s="1">
        <f>'Monthly Income Statement'!T8</f>
        <v>80152.618433262673</v>
      </c>
      <c r="U6" s="1">
        <f>'Monthly Income Statement'!U8</f>
        <v>84038.796329560835</v>
      </c>
      <c r="V6" s="1">
        <f>'Monthly Income Statement'!V8</f>
        <v>87942.017392781054</v>
      </c>
      <c r="W6" s="1">
        <f>'Monthly Income Statement'!W8</f>
        <v>91813.044441236052</v>
      </c>
      <c r="X6" s="1">
        <f>'Monthly Income Statement'!X8</f>
        <v>95410.322524641</v>
      </c>
      <c r="Y6" s="1">
        <f>'Monthly Income Statement'!Y8</f>
        <v>98956.108144685626</v>
      </c>
      <c r="Z6" s="1">
        <f>'Monthly Income Statement'!Z8</f>
        <v>102540.58580335179</v>
      </c>
      <c r="AA6" s="1">
        <f>'Monthly Income Statement'!AA8</f>
        <v>106076.79500462969</v>
      </c>
      <c r="AB6" s="1">
        <f>'Monthly Income Statement'!AB8</f>
        <v>109691.73857475708</v>
      </c>
      <c r="AC6" s="1">
        <f>'Monthly Income Statement'!AC8</f>
        <v>113355.00264030292</v>
      </c>
      <c r="AD6" s="1">
        <f>'Monthly Income Statement'!AD8</f>
        <v>117045.55261424836</v>
      </c>
      <c r="AE6" s="1">
        <f>'Monthly Income Statement'!AE8</f>
        <v>120825.14628057543</v>
      </c>
      <c r="AF6" s="1">
        <f>'Monthly Income Statement'!AF8</f>
        <v>124636.11810114185</v>
      </c>
      <c r="AG6" s="1">
        <f>'Monthly Income Statement'!AG8</f>
        <v>128606.22449931098</v>
      </c>
      <c r="AH6" s="1">
        <f>'Monthly Income Statement'!AH8</f>
        <v>132649.19463196932</v>
      </c>
      <c r="AI6" s="1">
        <f>'Monthly Income Statement'!AI8</f>
        <v>136866.65670706349</v>
      </c>
      <c r="AJ6" s="1">
        <f>'Monthly Income Statement'!AJ8</f>
        <v>141296.58256586798</v>
      </c>
      <c r="AK6" s="1">
        <f>'Monthly Income Statement'!AK8</f>
        <v>145845.60394292386</v>
      </c>
      <c r="AL6" s="1">
        <f>'Monthly Income Statement'!AL8</f>
        <v>150689.7719358239</v>
      </c>
      <c r="AM6" s="1">
        <f>'Monthly Income Statement'!AM8</f>
        <v>155839.09713983088</v>
      </c>
      <c r="AN6" s="1">
        <f>'Monthly Income Statement'!AN8</f>
        <v>161231.15045801771</v>
      </c>
      <c r="AO6" s="1">
        <f>'Monthly Income Statement'!AO8</f>
        <v>167015.64482994858</v>
      </c>
      <c r="AP6" s="1">
        <f>'Monthly Income Statement'!AP8</f>
        <v>173203.74239238654</v>
      </c>
      <c r="AQ6" s="1">
        <f>'Monthly Income Statement'!AQ8</f>
        <v>179807.03941153776</v>
      </c>
      <c r="AR6" s="1">
        <f>'Monthly Income Statement'!AR8</f>
        <v>186985.4036849977</v>
      </c>
      <c r="AS6" s="1">
        <f>'Monthly Income Statement'!AS8</f>
        <v>194641.19804213586</v>
      </c>
      <c r="AT6" s="1">
        <f>'Monthly Income Statement'!AT8</f>
        <v>203020.55654597122</v>
      </c>
      <c r="AU6" s="1">
        <f>'Monthly Income Statement'!AU8</f>
        <v>212014.12222635164</v>
      </c>
      <c r="AV6" s="1">
        <f>'Monthly Income Statement'!AV8</f>
        <v>221875.90904071036</v>
      </c>
      <c r="AW6" s="1">
        <f>'Monthly Income Statement'!AW8</f>
        <v>232631.0865276579</v>
      </c>
      <c r="AX6" s="1">
        <f>'Monthly Income Statement'!AX8</f>
        <v>244340.29859696055</v>
      </c>
      <c r="AY6" s="1">
        <f>'Monthly Income Statement'!AY8</f>
        <v>257190.26937473539</v>
      </c>
      <c r="AZ6" s="1">
        <f>'Monthly Income Statement'!AZ8</f>
        <v>271249.17996065778</v>
      </c>
      <c r="BA6" s="1">
        <f>'Monthly Income Statement'!BA8</f>
        <v>286586.53336628835</v>
      </c>
      <c r="BB6" s="1">
        <f>'Monthly Income Statement'!BB8</f>
        <v>303568.87655419251</v>
      </c>
      <c r="BC6" s="1">
        <f>'Monthly Income Statement'!BC8</f>
        <v>322245.56607827614</v>
      </c>
      <c r="BD6" s="1">
        <f>'Monthly Income Statement'!BD8</f>
        <v>342805.83966943144</v>
      </c>
      <c r="BE6" s="1">
        <f>'Monthly Income Statement'!BE8</f>
        <v>365506.97432745976</v>
      </c>
      <c r="BF6" s="1">
        <f>'Monthly Income Statement'!BF8</f>
        <v>390589.03171099204</v>
      </c>
      <c r="BG6" s="1">
        <f>'Monthly Income Statement'!BG8</f>
        <v>418297.38149260532</v>
      </c>
      <c r="BH6" s="1">
        <f>'Monthly Income Statement'!BH8</f>
        <v>448923.10993806238</v>
      </c>
      <c r="BI6" s="1">
        <f>'Monthly Income Statement'!BI8</f>
        <v>482803.55850932305</v>
      </c>
      <c r="BJ6" s="1">
        <f>'Monthly Income Statement'!BJ8</f>
        <v>520366.4924084181</v>
      </c>
    </row>
    <row r="7" spans="1:62" x14ac:dyDescent="0.2">
      <c r="B7" s="38" t="s">
        <v>122</v>
      </c>
      <c r="C7" s="78">
        <f>'Monthly Balance Sheet'!B5-'Monthly Balance Sheet'!C5</f>
        <v>-3556</v>
      </c>
      <c r="D7" s="78">
        <f>'Monthly Balance Sheet'!C5-'Monthly Balance Sheet'!D5</f>
        <v>-343</v>
      </c>
      <c r="E7" s="78">
        <f>'Monthly Balance Sheet'!D5-'Monthly Balance Sheet'!E5</f>
        <v>-456</v>
      </c>
      <c r="F7" s="78">
        <f>'Monthly Balance Sheet'!E5-'Monthly Balance Sheet'!F5</f>
        <v>-552</v>
      </c>
      <c r="G7" s="78">
        <f>'Monthly Balance Sheet'!F5-'Monthly Balance Sheet'!G5</f>
        <v>-17549</v>
      </c>
      <c r="H7" s="1">
        <f>'Monthly Balance Sheet'!G5-'Monthly Balance Sheet'!H5</f>
        <v>-5154.3585075568008</v>
      </c>
      <c r="I7" s="1">
        <f>'Monthly Balance Sheet'!H5-'Monthly Balance Sheet'!I5</f>
        <v>-4917.5539332295339</v>
      </c>
      <c r="J7" s="1">
        <f>'Monthly Balance Sheet'!I5-'Monthly Balance Sheet'!J5</f>
        <v>-4792.3870714187142</v>
      </c>
      <c r="K7" s="1">
        <f>'Monthly Balance Sheet'!J5-'Monthly Balance Sheet'!K5</f>
        <v>-4740.1499237310854</v>
      </c>
      <c r="L7" s="1">
        <f>'Monthly Balance Sheet'!K5-'Monthly Balance Sheet'!L5</f>
        <v>-4572.6305529032106</v>
      </c>
      <c r="M7" s="1">
        <f>'Monthly Balance Sheet'!L5-'Monthly Balance Sheet'!M5</f>
        <v>-4486.8963437663624</v>
      </c>
      <c r="N7" s="1">
        <f>'Monthly Balance Sheet'!M5-'Monthly Balance Sheet'!N5</f>
        <v>-4382.6179657600151</v>
      </c>
      <c r="O7" s="1">
        <f>'Monthly Balance Sheet'!N5-'Monthly Balance Sheet'!O5</f>
        <v>-4322.2066401365373</v>
      </c>
      <c r="P7" s="1">
        <f>'Monthly Balance Sheet'!O5-'Monthly Balance Sheet'!P5</f>
        <v>-4217.9945325677982</v>
      </c>
      <c r="Q7" s="1">
        <f>'Monthly Balance Sheet'!P5-'Monthly Balance Sheet'!Q5</f>
        <v>-4164.2054199286649</v>
      </c>
      <c r="R7" s="1">
        <f>'Monthly Balance Sheet'!Q5-'Monthly Balance Sheet'!R5</f>
        <v>-4051.874333503758</v>
      </c>
      <c r="S7" s="1">
        <f>'Monthly Balance Sheet'!R5-'Monthly Balance Sheet'!S5</f>
        <v>-3987.9301607969828</v>
      </c>
      <c r="T7" s="1">
        <f>'Monthly Balance Sheet'!S5-'Monthly Balance Sheet'!T5</f>
        <v>-3905.8130479632091</v>
      </c>
      <c r="U7" s="1">
        <f>'Monthly Balance Sheet'!T5-'Monthly Balance Sheet'!U5</f>
        <v>-3886.1778962981625</v>
      </c>
      <c r="V7" s="1">
        <f>'Monthly Balance Sheet'!U5-'Monthly Balance Sheet'!V5</f>
        <v>-3903.2210632202186</v>
      </c>
      <c r="W7" s="1">
        <f>'Monthly Balance Sheet'!V5-'Monthly Balance Sheet'!W5</f>
        <v>-3871.0270484549983</v>
      </c>
      <c r="X7" s="1">
        <f>'Monthly Balance Sheet'!W5-'Monthly Balance Sheet'!X5</f>
        <v>-3597.2780834049481</v>
      </c>
      <c r="Y7" s="1">
        <f>'Monthly Balance Sheet'!X5-'Monthly Balance Sheet'!Y5</f>
        <v>-3545.7856200446258</v>
      </c>
      <c r="Z7" s="1">
        <f>'Monthly Balance Sheet'!Y5-'Monthly Balance Sheet'!Z5</f>
        <v>-3584.477658666161</v>
      </c>
      <c r="AA7" s="1">
        <f>'Monthly Balance Sheet'!Z5-'Monthly Balance Sheet'!AA5</f>
        <v>-3536.209201277903</v>
      </c>
      <c r="AB7" s="1">
        <f>'Monthly Balance Sheet'!AA5-'Monthly Balance Sheet'!AB5</f>
        <v>-3614.9435701273906</v>
      </c>
      <c r="AC7" s="1">
        <f>'Monthly Balance Sheet'!AB5-'Monthly Balance Sheet'!AC5</f>
        <v>-3663.2640655458381</v>
      </c>
      <c r="AD7" s="1">
        <f>'Monthly Balance Sheet'!AC5-'Monthly Balance Sheet'!AD5</f>
        <v>-3690.549973945439</v>
      </c>
      <c r="AE7" s="1">
        <f>'Monthly Balance Sheet'!AD5-'Monthly Balance Sheet'!AE5</f>
        <v>-3779.5936663270695</v>
      </c>
      <c r="AF7" s="1">
        <f>'Monthly Balance Sheet'!AE5-'Monthly Balance Sheet'!AF5</f>
        <v>-3810.9718205664249</v>
      </c>
      <c r="AG7" s="1">
        <f>'Monthly Balance Sheet'!AF5-'Monthly Balance Sheet'!AG5</f>
        <v>-3970.1063981691259</v>
      </c>
      <c r="AH7" s="1">
        <f>'Monthly Balance Sheet'!AG5-'Monthly Balance Sheet'!AH5</f>
        <v>-4042.9701326583454</v>
      </c>
      <c r="AI7" s="1">
        <f>'Monthly Balance Sheet'!AH5-'Monthly Balance Sheet'!AI5</f>
        <v>-4217.4620750941685</v>
      </c>
      <c r="AJ7" s="1">
        <f>'Monthly Balance Sheet'!AI5-'Monthly Balance Sheet'!AJ5</f>
        <v>-4429.9258588044904</v>
      </c>
      <c r="AK7" s="1">
        <f>'Monthly Balance Sheet'!AJ5-'Monthly Balance Sheet'!AK5</f>
        <v>-4549.0213770558767</v>
      </c>
      <c r="AL7" s="1">
        <f>'Monthly Balance Sheet'!AK5-'Monthly Balance Sheet'!AL5</f>
        <v>-4844.1679929000384</v>
      </c>
      <c r="AM7" s="1">
        <f>'Monthly Balance Sheet'!AL5-'Monthly Balance Sheet'!AM5</f>
        <v>-5149.3252040069783</v>
      </c>
      <c r="AN7" s="1">
        <f>'Monthly Balance Sheet'!AM5-'Monthly Balance Sheet'!AN5</f>
        <v>-5392.0533181868377</v>
      </c>
      <c r="AO7" s="1">
        <f>'Monthly Balance Sheet'!AN5-'Monthly Balance Sheet'!AO5</f>
        <v>-5784.4943719308649</v>
      </c>
      <c r="AP7" s="1">
        <f>'Monthly Balance Sheet'!AO5-'Monthly Balance Sheet'!AP5</f>
        <v>-6188.0975624379644</v>
      </c>
      <c r="AQ7" s="1">
        <f>'Monthly Balance Sheet'!AP5-'Monthly Balance Sheet'!AQ5</f>
        <v>-6603.297019151214</v>
      </c>
      <c r="AR7" s="1">
        <f>'Monthly Balance Sheet'!AQ5-'Monthly Balance Sheet'!AR5</f>
        <v>-7178.3642734599416</v>
      </c>
      <c r="AS7" s="1">
        <f>'Monthly Balance Sheet'!AR5-'Monthly Balance Sheet'!AS5</f>
        <v>-7655.794357138162</v>
      </c>
      <c r="AT7" s="1">
        <f>'Monthly Balance Sheet'!AS5-'Monthly Balance Sheet'!AT5</f>
        <v>-8379.3585038353631</v>
      </c>
      <c r="AU7" s="1">
        <f>'Monthly Balance Sheet'!AT5-'Monthly Balance Sheet'!AU5</f>
        <v>-8993.5656803804159</v>
      </c>
      <c r="AV7" s="1">
        <f>'Monthly Balance Sheet'!AU5-'Monthly Balance Sheet'!AV5</f>
        <v>-9861.7868143587257</v>
      </c>
      <c r="AW7" s="1">
        <f>'Monthly Balance Sheet'!AV5-'Monthly Balance Sheet'!AW5</f>
        <v>-10755.177486947534</v>
      </c>
      <c r="AX7" s="1">
        <f>'Monthly Balance Sheet'!AW5-'Monthly Balance Sheet'!AX5</f>
        <v>-11709.212069302652</v>
      </c>
      <c r="AY7" s="1">
        <f>'Monthly Balance Sheet'!AX5-'Monthly Balance Sheet'!AY5</f>
        <v>-12849.970777774841</v>
      </c>
      <c r="AZ7" s="1">
        <f>'Monthly Balance Sheet'!AY5-'Monthly Balance Sheet'!AZ5</f>
        <v>-14058.910585922393</v>
      </c>
      <c r="BA7" s="1">
        <f>'Monthly Balance Sheet'!AZ5-'Monthly Balance Sheet'!BA5</f>
        <v>-15337.353405630565</v>
      </c>
      <c r="BB7" s="1">
        <f>'Monthly Balance Sheet'!BA5-'Monthly Balance Sheet'!BB5</f>
        <v>-16982.34318790416</v>
      </c>
      <c r="BC7" s="1">
        <f>'Monthly Balance Sheet'!BB5-'Monthly Balance Sheet'!BC5</f>
        <v>-18676.689524083631</v>
      </c>
      <c r="BD7" s="1">
        <f>'Monthly Balance Sheet'!BC5-'Monthly Balance Sheet'!BD5</f>
        <v>-20560.273591155303</v>
      </c>
      <c r="BE7" s="1">
        <f>'Monthly Balance Sheet'!BD5-'Monthly Balance Sheet'!BE5</f>
        <v>-22701.134658028313</v>
      </c>
      <c r="BF7" s="1">
        <f>'Monthly Balance Sheet'!BE5-'Monthly Balance Sheet'!BF5</f>
        <v>-25082.057383532287</v>
      </c>
      <c r="BG7" s="1">
        <f>'Monthly Balance Sheet'!BF5-'Monthly Balance Sheet'!BG5</f>
        <v>-27708.349781613273</v>
      </c>
      <c r="BH7" s="1">
        <f>'Monthly Balance Sheet'!BG5-'Monthly Balance Sheet'!BH5</f>
        <v>-30625.728445457062</v>
      </c>
      <c r="BI7" s="1">
        <f>'Monthly Balance Sheet'!BH5-'Monthly Balance Sheet'!BI5</f>
        <v>-33880.448571260669</v>
      </c>
      <c r="BJ7" s="1">
        <f>'Monthly Balance Sheet'!BI5-'Monthly Balance Sheet'!BJ5</f>
        <v>-37562.933899095049</v>
      </c>
    </row>
    <row r="8" spans="1:62" x14ac:dyDescent="0.2">
      <c r="C8" s="78"/>
      <c r="D8" s="78"/>
      <c r="E8" s="78"/>
      <c r="F8" s="78"/>
      <c r="G8" s="7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x14ac:dyDescent="0.2">
      <c r="B9" s="41" t="s">
        <v>123</v>
      </c>
      <c r="C9" s="77">
        <f t="shared" ref="C9:G9" si="2">SUM(C5:C8)</f>
        <v>57.263744999999744</v>
      </c>
      <c r="D9" s="89">
        <f t="shared" si="2"/>
        <v>3598.3917240000001</v>
      </c>
      <c r="E9" s="89">
        <f t="shared" si="2"/>
        <v>3897.519779799999</v>
      </c>
      <c r="F9" s="89">
        <f t="shared" si="2"/>
        <v>4364.8579048000001</v>
      </c>
      <c r="G9" s="89">
        <f t="shared" si="2"/>
        <v>4916.2960640000019</v>
      </c>
      <c r="H9" s="9">
        <f t="shared" ref="H9:P9" si="3">SUM(H5:H8)</f>
        <v>22456</v>
      </c>
      <c r="I9" s="9">
        <f t="shared" si="3"/>
        <v>27610.358507556801</v>
      </c>
      <c r="J9" s="9">
        <f t="shared" si="3"/>
        <v>32527.912440786335</v>
      </c>
      <c r="K9" s="9">
        <f t="shared" si="3"/>
        <v>37320.299512205049</v>
      </c>
      <c r="L9" s="9">
        <f t="shared" si="3"/>
        <v>42060.449435936134</v>
      </c>
      <c r="M9" s="9">
        <f t="shared" si="3"/>
        <v>46633.079988839345</v>
      </c>
      <c r="N9" s="9">
        <f t="shared" si="3"/>
        <v>51119.976332605707</v>
      </c>
      <c r="O9" s="9">
        <f t="shared" si="3"/>
        <v>55502.594298365722</v>
      </c>
      <c r="P9" s="9">
        <f t="shared" si="3"/>
        <v>59824.80093850226</v>
      </c>
      <c r="Q9" s="9">
        <f t="shared" ref="Q9" si="4">SUM(Q5:Q8)</f>
        <v>64042.795471070058</v>
      </c>
      <c r="R9" s="9">
        <f t="shared" ref="R9" si="5">SUM(R5:R8)</f>
        <v>68207.000890998723</v>
      </c>
      <c r="S9" s="9">
        <f t="shared" ref="S9" si="6">SUM(S5:S8)</f>
        <v>72258.875224502481</v>
      </c>
      <c r="T9" s="9">
        <f t="shared" ref="T9" si="7">SUM(T5:T8)</f>
        <v>76246.805385299464</v>
      </c>
      <c r="U9" s="9">
        <f t="shared" ref="U9" si="8">SUM(U5:U8)</f>
        <v>80152.618433262673</v>
      </c>
      <c r="V9" s="9">
        <f t="shared" ref="V9" si="9">SUM(V5:V8)</f>
        <v>84038.796329560835</v>
      </c>
      <c r="W9" s="9">
        <f t="shared" ref="W9" si="10">SUM(W5:W8)</f>
        <v>87942.017392781054</v>
      </c>
      <c r="X9" s="9">
        <f t="shared" ref="X9" si="11">SUM(X5:X8)</f>
        <v>91813.044441236052</v>
      </c>
      <c r="Y9" s="9">
        <f t="shared" ref="Y9" si="12">SUM(Y5:Y8)</f>
        <v>95410.322524641</v>
      </c>
      <c r="Z9" s="9">
        <f t="shared" ref="Z9" si="13">SUM(Z5:Z8)</f>
        <v>98956.108144685626</v>
      </c>
      <c r="AA9" s="9">
        <f t="shared" ref="AA9:AB9" si="14">SUM(AA5:AA8)</f>
        <v>102540.58580335179</v>
      </c>
      <c r="AB9" s="9">
        <f t="shared" si="14"/>
        <v>106076.79500462969</v>
      </c>
      <c r="AC9" s="9">
        <f t="shared" ref="AC9" si="15">SUM(AC5:AC8)</f>
        <v>109691.73857475708</v>
      </c>
      <c r="AD9" s="9">
        <f t="shared" ref="AD9" si="16">SUM(AD5:AD8)</f>
        <v>113355.00264030292</v>
      </c>
      <c r="AE9" s="9">
        <f t="shared" ref="AE9" si="17">SUM(AE5:AE8)</f>
        <v>117045.55261424836</v>
      </c>
      <c r="AF9" s="9">
        <f t="shared" ref="AF9" si="18">SUM(AF5:AF8)</f>
        <v>120825.14628057543</v>
      </c>
      <c r="AG9" s="9">
        <f t="shared" ref="AG9" si="19">SUM(AG5:AG8)</f>
        <v>124636.11810114185</v>
      </c>
      <c r="AH9" s="9">
        <f t="shared" ref="AH9" si="20">SUM(AH5:AH8)</f>
        <v>128606.22449931098</v>
      </c>
      <c r="AI9" s="9">
        <f t="shared" ref="AI9" si="21">SUM(AI5:AI8)</f>
        <v>132649.19463196932</v>
      </c>
      <c r="AJ9" s="9">
        <f t="shared" ref="AJ9" si="22">SUM(AJ5:AJ8)</f>
        <v>136866.65670706349</v>
      </c>
      <c r="AK9" s="9">
        <f t="shared" ref="AK9" si="23">SUM(AK5:AK8)</f>
        <v>141296.58256586798</v>
      </c>
      <c r="AL9" s="9">
        <f t="shared" ref="AL9" si="24">SUM(AL5:AL8)</f>
        <v>145845.60394292386</v>
      </c>
      <c r="AM9" s="9">
        <f t="shared" ref="AM9:AN9" si="25">SUM(AM5:AM8)</f>
        <v>150689.7719358239</v>
      </c>
      <c r="AN9" s="9">
        <f t="shared" si="25"/>
        <v>155839.09713983088</v>
      </c>
      <c r="AO9" s="9">
        <f t="shared" ref="AO9" si="26">SUM(AO5:AO8)</f>
        <v>161231.15045801771</v>
      </c>
      <c r="AP9" s="9">
        <f t="shared" ref="AP9" si="27">SUM(AP5:AP8)</f>
        <v>167015.64482994858</v>
      </c>
      <c r="AQ9" s="9">
        <f t="shared" ref="AQ9" si="28">SUM(AQ5:AQ8)</f>
        <v>173203.74239238654</v>
      </c>
      <c r="AR9" s="9">
        <f t="shared" ref="AR9" si="29">SUM(AR5:AR8)</f>
        <v>179807.03941153776</v>
      </c>
      <c r="AS9" s="9">
        <f t="shared" ref="AS9" si="30">SUM(AS5:AS8)</f>
        <v>186985.4036849977</v>
      </c>
      <c r="AT9" s="9">
        <f t="shared" ref="AT9" si="31">SUM(AT5:AT8)</f>
        <v>194641.19804213586</v>
      </c>
      <c r="AU9" s="9">
        <f t="shared" ref="AU9" si="32">SUM(AU5:AU8)</f>
        <v>203020.55654597122</v>
      </c>
      <c r="AV9" s="9">
        <f t="shared" ref="AV9" si="33">SUM(AV5:AV8)</f>
        <v>212014.12222635164</v>
      </c>
      <c r="AW9" s="9">
        <f t="shared" ref="AW9" si="34">SUM(AW5:AW8)</f>
        <v>221875.90904071036</v>
      </c>
      <c r="AX9" s="9">
        <f t="shared" ref="AX9" si="35">SUM(AX5:AX8)</f>
        <v>232631.0865276579</v>
      </c>
      <c r="AY9" s="9">
        <f t="shared" ref="AY9:AZ9" si="36">SUM(AY5:AY8)</f>
        <v>244340.29859696055</v>
      </c>
      <c r="AZ9" s="9">
        <f t="shared" si="36"/>
        <v>257190.26937473539</v>
      </c>
      <c r="BA9" s="9">
        <f t="shared" ref="BA9" si="37">SUM(BA5:BA8)</f>
        <v>271249.17996065778</v>
      </c>
      <c r="BB9" s="9">
        <f t="shared" ref="BB9" si="38">SUM(BB5:BB8)</f>
        <v>286586.53336628835</v>
      </c>
      <c r="BC9" s="9">
        <f t="shared" ref="BC9" si="39">SUM(BC5:BC8)</f>
        <v>303568.87655419251</v>
      </c>
      <c r="BD9" s="9">
        <f t="shared" ref="BD9" si="40">SUM(BD5:BD8)</f>
        <v>322245.56607827614</v>
      </c>
      <c r="BE9" s="9">
        <f t="shared" ref="BE9" si="41">SUM(BE5:BE8)</f>
        <v>342805.83966943144</v>
      </c>
      <c r="BF9" s="9">
        <f t="shared" ref="BF9" si="42">SUM(BF5:BF8)</f>
        <v>365506.97432745976</v>
      </c>
      <c r="BG9" s="9">
        <f t="shared" ref="BG9" si="43">SUM(BG5:BG8)</f>
        <v>390589.03171099204</v>
      </c>
      <c r="BH9" s="9">
        <f t="shared" ref="BH9" si="44">SUM(BH5:BH8)</f>
        <v>418297.38149260532</v>
      </c>
      <c r="BI9" s="9">
        <f t="shared" ref="BI9" si="45">SUM(BI5:BI8)</f>
        <v>448923.10993806238</v>
      </c>
      <c r="BJ9" s="9">
        <f t="shared" ref="BJ9" si="46">SUM(BJ5:BJ8)</f>
        <v>482803.55850932305</v>
      </c>
    </row>
    <row r="10" spans="1:62" x14ac:dyDescent="0.2">
      <c r="B10" s="37"/>
      <c r="C10" s="78"/>
      <c r="D10" s="78"/>
      <c r="E10" s="78"/>
      <c r="F10" s="78"/>
      <c r="G10" s="7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x14ac:dyDescent="0.2">
      <c r="B11" s="39" t="s">
        <v>124</v>
      </c>
      <c r="C11" s="78"/>
      <c r="D11" s="78"/>
      <c r="E11" s="78"/>
      <c r="F11" s="78"/>
      <c r="G11" s="7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x14ac:dyDescent="0.2">
      <c r="B12" s="37" t="s">
        <v>125</v>
      </c>
      <c r="C12" s="78">
        <f>-('Monthly Income Statement'!C14+'Monthly Income Statement'!C21+'Monthly Income Statement'!C33)</f>
        <v>-43196.921666666669</v>
      </c>
      <c r="D12" s="78">
        <f>-('Monthly Income Statement'!D14+'Monthly Income Statement'!D21+'Monthly Income Statement'!D33)</f>
        <v>-43462.182166666673</v>
      </c>
      <c r="E12" s="78">
        <f>-('Monthly Income Statement'!E14+'Monthly Income Statement'!E21+'Monthly Income Statement'!E33)</f>
        <v>-71588.581666666665</v>
      </c>
      <c r="F12" s="78">
        <f>-('Monthly Income Statement'!F14+'Monthly Income Statement'!F21+'Monthly Income Statement'!F33)</f>
        <v>-78426.842333333349</v>
      </c>
      <c r="G12" s="78">
        <f>-('Monthly Income Statement'!G14+'Monthly Income Statement'!G21+'Monthly Income Statement'!G33)</f>
        <v>-104815.48733333334</v>
      </c>
      <c r="H12" s="1">
        <f>-('Monthly Income Statement'!H14+'Monthly Income Statement'!H21+'Monthly Income Statement'!H33)</f>
        <v>-108217.48164040843</v>
      </c>
      <c r="I12" s="1">
        <f>-('Monthly Income Statement'!I14+'Monthly Income Statement'!I21+'Monthly Income Statement'!I33)</f>
        <v>-111544.96705295841</v>
      </c>
      <c r="J12" s="1">
        <f>-('Monthly Income Statement'!J14+'Monthly Income Statement'!J21+'Monthly Income Statement'!J33)</f>
        <v>-114765.01537872941</v>
      </c>
      <c r="K12" s="1">
        <f>-('Monthly Income Statement'!K14+'Monthly Income Statement'!K21+'Monthly Income Statement'!K33)</f>
        <v>-117928.94039651079</v>
      </c>
      <c r="L12" s="1">
        <f>-('Monthly Income Statement'!L14+'Monthly Income Statement'!L21+'Monthly Income Statement'!L33)</f>
        <v>-120957.51960701328</v>
      </c>
      <c r="M12" s="1">
        <f>-('Monthly Income Statement'!M14+'Monthly Income Statement'!M21+'Monthly Income Statement'!M33)</f>
        <v>-123908.88576125953</v>
      </c>
      <c r="N12" s="1">
        <f>-('Monthly Income Statement'!N14+'Monthly Income Statement'!N21+'Monthly Income Statement'!N33)</f>
        <v>-126769.00265892968</v>
      </c>
      <c r="O12" s="1">
        <f>-('Monthly Income Statement'!O14+'Monthly Income Statement'!O21+'Monthly Income Statement'!O33)</f>
        <v>-145942.52683101647</v>
      </c>
      <c r="P12" s="1">
        <f>-('Monthly Income Statement'!P14+'Monthly Income Statement'!P21+'Monthly Income Statement'!P33)</f>
        <v>-143666.41746810902</v>
      </c>
      <c r="Q12" s="1">
        <f>-('Monthly Income Statement'!Q14+'Monthly Income Statement'!Q21+'Monthly Income Statement'!Q33)</f>
        <v>-146339.8382224557</v>
      </c>
      <c r="R12" s="1">
        <f>-('Monthly Income Statement'!R14+'Monthly Income Statement'!R21+'Monthly Income Statement'!R33)</f>
        <v>-148921.43491622101</v>
      </c>
      <c r="S12" s="1">
        <f>-('Monthly Income Statement'!S14+'Monthly Income Statement'!S21+'Monthly Income Statement'!S33)</f>
        <v>-151454.22384512049</v>
      </c>
      <c r="T12" s="1">
        <f>-('Monthly Income Statement'!T14+'Monthly Income Statement'!T21+'Monthly Income Statement'!T33)</f>
        <v>-153916.76529174298</v>
      </c>
      <c r="U12" s="1">
        <f>-('Monthly Income Statement'!U14+'Monthly Income Statement'!U21+'Monthly Income Statement'!U33)</f>
        <v>-156354.72367643728</v>
      </c>
      <c r="V12" s="1">
        <f>-('Monthly Income Statement'!V14+'Monthly Income Statement'!V21+'Monthly Income Statement'!V33)</f>
        <v>-158792.87769201811</v>
      </c>
      <c r="W12" s="1">
        <f>-('Monthly Income Statement'!W14+'Monthly Income Statement'!W21+'Monthly Income Statement'!W33)</f>
        <v>-161197.1916787159</v>
      </c>
      <c r="X12" s="1">
        <f>-('Monthly Income Statement'!X14+'Monthly Income Statement'!X21+'Monthly Income Statement'!X33)</f>
        <v>-173684.6136192983</v>
      </c>
      <c r="Y12" s="1">
        <f>-('Monthly Income Statement'!Y14+'Monthly Income Statement'!Y21+'Monthly Income Statement'!Y33)</f>
        <v>-171022.098395045</v>
      </c>
      <c r="Z12" s="1">
        <f>-('Monthly Income Statement'!Z14+'Monthly Income Statement'!Z21+'Monthly Income Statement'!Z33)</f>
        <v>-173387.73946228332</v>
      </c>
      <c r="AA12" s="1">
        <f>-('Monthly Income Statement'!AA14+'Monthly Income Statement'!AA21+'Monthly Income Statement'!AA33)</f>
        <v>-175722.25349918206</v>
      </c>
      <c r="AB12" s="1">
        <f>-('Monthly Income Statement'!AB14+'Monthly Income Statement'!AB21+'Monthly Income Statement'!AB33)</f>
        <v>-178111.18178264337</v>
      </c>
      <c r="AC12" s="1">
        <f>-('Monthly Income Statement'!AC14+'Monthly Income Statement'!AC21+'Monthly Income Statement'!AC33)</f>
        <v>-180534.80918230733</v>
      </c>
      <c r="AD12" s="1">
        <f>-('Monthly Income Statement'!AD14+'Monthly Income Statement'!AD21+'Monthly Income Statement'!AD33)</f>
        <v>-182976.68679092667</v>
      </c>
      <c r="AE12" s="1">
        <f>-('Monthly Income Statement'!AE14+'Monthly Income Statement'!AE21+'Monthly Income Statement'!AE33)</f>
        <v>-185479.9576206989</v>
      </c>
      <c r="AF12" s="1">
        <f>-('Monthly Income Statement'!AF14+'Monthly Income Statement'!AF21+'Monthly Income Statement'!AF33)</f>
        <v>-188004.16205857304</v>
      </c>
      <c r="AG12" s="1">
        <f>-('Monthly Income Statement'!AG14+'Monthly Income Statement'!AG21+'Monthly Income Statement'!AG33)</f>
        <v>-190638.62649091682</v>
      </c>
      <c r="AH12" s="1">
        <f>-('Monthly Income Statement'!AH14+'Monthly Income Statement'!AH21+'Monthly Income Statement'!AH33)</f>
        <v>-193321.19845656556</v>
      </c>
      <c r="AI12" s="1">
        <f>-('Monthly Income Statement'!AI14+'Monthly Income Statement'!AI21+'Monthly Income Statement'!AI33)</f>
        <v>-196121.24126627322</v>
      </c>
      <c r="AJ12" s="1">
        <f>-('Monthly Income Statement'!AJ14+'Monthly Income Statement'!AJ21+'Monthly Income Statement'!AJ33)</f>
        <v>-199066.84519781472</v>
      </c>
      <c r="AK12" s="1">
        <f>-('Monthly Income Statement'!AK14+'Monthly Income Statement'!AK21+'Monthly Income Statement'!AK33)</f>
        <v>-202090.85427376258</v>
      </c>
      <c r="AL12" s="1">
        <f>-('Monthly Income Statement'!AL14+'Monthly Income Statement'!AL21+'Monthly Income Statement'!AL33)</f>
        <v>-205314.68653104221</v>
      </c>
      <c r="AM12" s="1">
        <f>-('Monthly Income Statement'!AM14+'Monthly Income Statement'!AM21+'Monthly Income Statement'!AM33)</f>
        <v>-208745.16449898167</v>
      </c>
      <c r="AN12" s="1">
        <f>-('Monthly Income Statement'!AN14+'Monthly Income Statement'!AN21+'Monthly Income Statement'!AN33)</f>
        <v>-212338.38687753794</v>
      </c>
      <c r="AO12" s="1">
        <f>-('Monthly Income Statement'!AO14+'Monthly Income Statement'!AO21+'Monthly Income Statement'!AO33)</f>
        <v>-216195.63279899262</v>
      </c>
      <c r="AP12" s="1">
        <f>-('Monthly Income Statement'!AP14+'Monthly Income Statement'!AP21+'Monthly Income Statement'!AP33)</f>
        <v>-220324.46818767505</v>
      </c>
      <c r="AQ12" s="1">
        <f>-('Monthly Income Statement'!AQ14+'Monthly Income Statement'!AQ21+'Monthly Income Statement'!AQ33)</f>
        <v>-224732.74298917939</v>
      </c>
      <c r="AR12" s="1">
        <f>-('Monthly Income Statement'!AR14+'Monthly Income Statement'!AR21+'Monthly Income Statement'!AR33)</f>
        <v>-229528.77157699713</v>
      </c>
      <c r="AS12" s="1">
        <f>-('Monthly Income Statement'!AS14+'Monthly Income Statement'!AS21+'Monthly Income Statement'!AS33)</f>
        <v>-234645.52933492925</v>
      </c>
      <c r="AT12" s="1">
        <f>-('Monthly Income Statement'!AT14+'Monthly Income Statement'!AT21+'Monthly Income Statement'!AT33)</f>
        <v>-240251.65746517543</v>
      </c>
      <c r="AU12" s="1">
        <f>-('Monthly Income Statement'!AU14+'Monthly Income Statement'!AU21+'Monthly Income Statement'!AU33)</f>
        <v>-246268.56063517678</v>
      </c>
      <c r="AV12" s="1">
        <f>-('Monthly Income Statement'!AV14+'Monthly Income Statement'!AV21+'Monthly Income Statement'!AV33)</f>
        <v>-252870.31677740894</v>
      </c>
      <c r="AW12" s="1">
        <f>-('Monthly Income Statement'!AW14+'Monthly Income Statement'!AW21+'Monthly Income Statement'!AW33)</f>
        <v>-260074.06633784639</v>
      </c>
      <c r="AX12" s="1">
        <f>-('Monthly Income Statement'!AX14+'Monthly Income Statement'!AX21+'Monthly Income Statement'!AX33)</f>
        <v>-267920.08943696239</v>
      </c>
      <c r="AY12" s="1">
        <f>-('Monthly Income Statement'!AY14+'Monthly Income Statement'!AY21+'Monthly Income Statement'!AY33)</f>
        <v>-276535.21855831426</v>
      </c>
      <c r="AZ12" s="1">
        <f>-('Monthly Income Statement'!AZ14+'Monthly Income Statement'!AZ21+'Monthly Income Statement'!AZ33)</f>
        <v>-285964.89596692537</v>
      </c>
      <c r="BA12" s="1">
        <f>-('Monthly Income Statement'!BA14+'Monthly Income Statement'!BA21+'Monthly Income Statement'!BA33)</f>
        <v>-296255.42842673376</v>
      </c>
      <c r="BB12" s="1">
        <f>-('Monthly Income Statement'!BB14+'Monthly Income Statement'!BB21+'Monthly Income Statement'!BB33)</f>
        <v>-307656.03575013793</v>
      </c>
      <c r="BC12" s="1">
        <f>-('Monthly Income Statement'!BC14+'Monthly Income Statement'!BC21+'Monthly Income Statement'!BC33)</f>
        <v>-320200.41929433233</v>
      </c>
      <c r="BD12" s="1">
        <f>-('Monthly Income Statement'!BD14+'Monthly Income Statement'!BD21+'Monthly Income Statement'!BD33)</f>
        <v>-334013.52439293789</v>
      </c>
      <c r="BE12" s="1">
        <f>-('Monthly Income Statement'!BE14+'Monthly Income Statement'!BE21+'Monthly Income Statement'!BE33)</f>
        <v>-359391.08711977844</v>
      </c>
      <c r="BF12" s="1">
        <f>-('Monthly Income Statement'!BF14+'Monthly Income Statement'!BF21+'Monthly Income Statement'!BF33)</f>
        <v>-371258.45288617804</v>
      </c>
      <c r="BG12" s="1">
        <f>-('Monthly Income Statement'!BG14+'Monthly Income Statement'!BG21+'Monthly Income Statement'!BG33)</f>
        <v>-389899.50823795953</v>
      </c>
      <c r="BH12" s="1">
        <f>-('Monthly Income Statement'!BH14+'Monthly Income Statement'!BH21+'Monthly Income Statement'!BH33)</f>
        <v>-410511.7089963819</v>
      </c>
      <c r="BI12" s="1">
        <f>-('Monthly Income Statement'!BI14+'Monthly Income Statement'!BI21+'Monthly Income Statement'!BI33)</f>
        <v>-433323.10277118458</v>
      </c>
      <c r="BJ12" s="1">
        <f>-('Monthly Income Statement'!BJ14+'Monthly Income Statement'!BJ21+'Monthly Income Statement'!BJ33)</f>
        <v>-458626.53232358576</v>
      </c>
    </row>
    <row r="13" spans="1:62" x14ac:dyDescent="0.2">
      <c r="B13" s="37" t="s">
        <v>137</v>
      </c>
      <c r="C13" s="78">
        <f>'Monthly Balance Sheet'!C12-'Monthly Balance Sheet'!B12</f>
        <v>13987</v>
      </c>
      <c r="D13" s="78">
        <f>'Monthly Balance Sheet'!D12-'Monthly Balance Sheet'!C12</f>
        <v>1360</v>
      </c>
      <c r="E13" s="78">
        <f>'Monthly Balance Sheet'!E12-'Monthly Balance Sheet'!D12</f>
        <v>23381</v>
      </c>
      <c r="F13" s="78">
        <f>'Monthly Balance Sheet'!F12-'Monthly Balance Sheet'!E12</f>
        <v>-6232</v>
      </c>
      <c r="G13" s="78">
        <f>'Monthly Balance Sheet'!G12-'Monthly Balance Sheet'!F12</f>
        <v>10795</v>
      </c>
      <c r="H13" s="1">
        <f>'Monthly Balance Sheet'!H12-'Monthly Balance Sheet'!G12</f>
        <v>10227.296614150153</v>
      </c>
      <c r="I13" s="1">
        <f>'Monthly Balance Sheet'!I12-'Monthly Balance Sheet'!H12</f>
        <v>6654.9708250999975</v>
      </c>
      <c r="J13" s="1">
        <f>'Monthly Balance Sheet'!J12-'Monthly Balance Sheet'!I12</f>
        <v>6440.0966515420005</v>
      </c>
      <c r="K13" s="1">
        <f>'Monthly Balance Sheet'!K12-'Monthly Balance Sheet'!J12</f>
        <v>6327.8500355627475</v>
      </c>
      <c r="L13" s="1">
        <f>'Monthly Balance Sheet'!L12-'Monthly Balance Sheet'!K12</f>
        <v>6057.1584210049768</v>
      </c>
      <c r="M13" s="1">
        <f>'Monthly Balance Sheet'!M12-'Monthly Balance Sheet'!L12</f>
        <v>5902.732308492501</v>
      </c>
      <c r="N13" s="1">
        <f>'Monthly Balance Sheet'!N12-'Monthly Balance Sheet'!M12</f>
        <v>5720.2337953403039</v>
      </c>
      <c r="O13" s="1">
        <f>'Monthly Balance Sheet'!O12-'Monthly Balance Sheet'!N12</f>
        <v>17513.715010840286</v>
      </c>
      <c r="P13" s="1">
        <f>'Monthly Balance Sheet'!P12-'Monthly Balance Sheet'!O12</f>
        <v>-4552.2187258149206</v>
      </c>
      <c r="Q13" s="1">
        <f>'Monthly Balance Sheet'!Q12-'Monthly Balance Sheet'!P12</f>
        <v>5346.8415086933528</v>
      </c>
      <c r="R13" s="1">
        <f>'Monthly Balance Sheet'!R12-'Monthly Balance Sheet'!Q12</f>
        <v>5163.1933875305986</v>
      </c>
      <c r="S13" s="1">
        <f>'Monthly Balance Sheet'!S12-'Monthly Balance Sheet'!R12</f>
        <v>5065.577857798984</v>
      </c>
      <c r="T13" s="1">
        <f>'Monthly Balance Sheet'!T12-'Monthly Balance Sheet'!S12</f>
        <v>4925.0828932450095</v>
      </c>
      <c r="U13" s="1">
        <f>'Monthly Balance Sheet'!U12-'Monthly Balance Sheet'!T12</f>
        <v>4875.9167693885975</v>
      </c>
      <c r="V13" s="1">
        <f>'Monthly Balance Sheet'!V12-'Monthly Balance Sheet'!U12</f>
        <v>4876.3080311616359</v>
      </c>
      <c r="W13" s="1">
        <f>'Monthly Balance Sheet'!W12-'Monthly Balance Sheet'!V12</f>
        <v>4808.6279733955744</v>
      </c>
      <c r="X13" s="1">
        <f>'Monthly Balance Sheet'!X12-'Monthly Balance Sheet'!W12</f>
        <v>16641.510547831451</v>
      </c>
      <c r="Y13" s="1">
        <f>'Monthly Balance Sheet'!Y12-'Monthly Balance Sheet'!X12</f>
        <v>-5325.0304485065863</v>
      </c>
      <c r="Z13" s="1">
        <f>'Monthly Balance Sheet'!Z12-'Monthly Balance Sheet'!Y12</f>
        <v>4731.2821344766708</v>
      </c>
      <c r="AA13" s="1">
        <f>'Monthly Balance Sheet'!AA12-'Monthly Balance Sheet'!Z12</f>
        <v>4669.0280737974681</v>
      </c>
      <c r="AB13" s="1">
        <f>'Monthly Balance Sheet'!AB12-'Monthly Balance Sheet'!AA12</f>
        <v>4777.8565669226227</v>
      </c>
      <c r="AC13" s="1">
        <f>'Monthly Balance Sheet'!AC12-'Monthly Balance Sheet'!AB12</f>
        <v>4847.2547993278713</v>
      </c>
      <c r="AD13" s="1">
        <f>'Monthly Balance Sheet'!AD12-'Monthly Balance Sheet'!AC12</f>
        <v>4883.7552172387077</v>
      </c>
      <c r="AE13" s="1">
        <f>'Monthly Balance Sheet'!AE12-'Monthly Balance Sheet'!AD12</f>
        <v>5006.541659544484</v>
      </c>
      <c r="AF13" s="1">
        <f>'Monthly Balance Sheet'!AF12-'Monthly Balance Sheet'!AE12</f>
        <v>5048.4088757482532</v>
      </c>
      <c r="AG13" s="1">
        <f>'Monthly Balance Sheet'!AG12-'Monthly Balance Sheet'!AF12</f>
        <v>5268.9288646875648</v>
      </c>
      <c r="AH13" s="1">
        <f>'Monthly Balance Sheet'!AH12-'Monthly Balance Sheet'!AG12</f>
        <v>5365.1439312974981</v>
      </c>
      <c r="AI13" s="1">
        <f>'Monthly Balance Sheet'!AI12-'Monthly Balance Sheet'!AH12</f>
        <v>5600.0856194153021</v>
      </c>
      <c r="AJ13" s="1">
        <f>'Monthly Balance Sheet'!AJ12-'Monthly Balance Sheet'!AI12</f>
        <v>5891.2078630829928</v>
      </c>
      <c r="AK13" s="1">
        <f>'Monthly Balance Sheet'!AK12-'Monthly Balance Sheet'!AJ12</f>
        <v>6048.0181518957252</v>
      </c>
      <c r="AL13" s="1">
        <f>'Monthly Balance Sheet'!AL12-'Monthly Balance Sheet'!AK12</f>
        <v>6447.6645145592338</v>
      </c>
      <c r="AM13" s="1">
        <f>'Monthly Balance Sheet'!AM12-'Monthly Balance Sheet'!AL12</f>
        <v>6860.955935878912</v>
      </c>
      <c r="AN13" s="1">
        <f>'Monthly Balance Sheet'!AN12-'Monthly Balance Sheet'!AM12</f>
        <v>7186.4447571125929</v>
      </c>
      <c r="AO13" s="1">
        <f>'Monthly Balance Sheet'!AO12-'Monthly Balance Sheet'!AN12</f>
        <v>7714.4918429093086</v>
      </c>
      <c r="AP13" s="1">
        <f>'Monthly Balance Sheet'!AP12-'Monthly Balance Sheet'!AO12</f>
        <v>8257.670777364925</v>
      </c>
      <c r="AQ13" s="1">
        <f>'Monthly Balance Sheet'!AQ12-'Monthly Balance Sheet'!AP12</f>
        <v>8816.5496030086069</v>
      </c>
      <c r="AR13" s="1">
        <f>'Monthly Balance Sheet'!AR12-'Monthly Balance Sheet'!AQ12</f>
        <v>9592.0571756355348</v>
      </c>
      <c r="AS13" s="1">
        <f>'Monthly Balance Sheet'!AS12-'Monthly Balance Sheet'!AR12</f>
        <v>10233.515515864186</v>
      </c>
      <c r="AT13" s="1">
        <f>'Monthly Balance Sheet'!AT12-'Monthly Balance Sheet'!AS12</f>
        <v>11212.256260492373</v>
      </c>
      <c r="AU13" s="1">
        <f>'Monthly Balance Sheet'!AU12-'Monthly Balance Sheet'!AT12</f>
        <v>12033.806340002688</v>
      </c>
      <c r="AV13" s="1">
        <f>'Monthly Balance Sheet'!AV12-'Monthly Balance Sheet'!AU12</f>
        <v>13203.512284464377</v>
      </c>
      <c r="AW13" s="1">
        <f>'Monthly Balance Sheet'!AW12-'Monthly Balance Sheet'!AV12</f>
        <v>14407.499120874854</v>
      </c>
      <c r="AX13" s="1">
        <f>'Monthly Balance Sheet'!AX12-'Monthly Balance Sheet'!AW12</f>
        <v>15692.046198231983</v>
      </c>
      <c r="AY13" s="1">
        <f>'Monthly Balance Sheet'!AY12-'Monthly Balance Sheet'!AX12</f>
        <v>17230.258242703741</v>
      </c>
      <c r="AZ13" s="1">
        <f>'Monthly Balance Sheet'!AZ12-'Monthly Balance Sheet'!AY12</f>
        <v>18859.354817222222</v>
      </c>
      <c r="BA13" s="1">
        <f>'Monthly Balance Sheet'!BA12-'Monthly Balance Sheet'!AZ12</f>
        <v>20581.064919616794</v>
      </c>
      <c r="BB13" s="1">
        <f>'Monthly Balance Sheet'!BB12-'Monthly Balance Sheet'!BA12</f>
        <v>22801.214646808337</v>
      </c>
      <c r="BC13" s="1">
        <f>'Monthly Balance Sheet'!BC12-'Monthly Balance Sheet'!BB12</f>
        <v>25088.767088388791</v>
      </c>
      <c r="BD13" s="1">
        <f>'Monthly Balance Sheet'!BD12-'Monthly Balance Sheet'!BC12</f>
        <v>27626.210197211127</v>
      </c>
      <c r="BE13" s="1">
        <f>'Monthly Balance Sheet'!BE12-'Monthly Balance Sheet'!BD12</f>
        <v>42421.792120347847</v>
      </c>
      <c r="BF13" s="1">
        <f>'Monthly Balance Sheet'!BF12-'Monthly Balance Sheet'!BE12</f>
        <v>23734.731532799196</v>
      </c>
      <c r="BG13" s="1">
        <f>'Monthly Balance Sheet'!BG12-'Monthly Balance Sheet'!BF12</f>
        <v>37282.110703562968</v>
      </c>
      <c r="BH13" s="1">
        <f>'Monthly Balance Sheet'!BH12-'Monthly Balance Sheet'!BG12</f>
        <v>41224.401516844751</v>
      </c>
      <c r="BI13" s="1">
        <f>'Monthly Balance Sheet'!BI12-'Monthly Balance Sheet'!BH12</f>
        <v>45622.78754960536</v>
      </c>
      <c r="BJ13" s="1">
        <f>'Monthly Balance Sheet'!BJ12-'Monthly Balance Sheet'!BI12</f>
        <v>50606.859104802366</v>
      </c>
    </row>
    <row r="14" spans="1:62" x14ac:dyDescent="0.2">
      <c r="B14" s="37" t="s">
        <v>126</v>
      </c>
      <c r="C14" s="78">
        <f>'Monthly Balance Sheet'!B6-'Monthly Balance Sheet'!C6</f>
        <v>-3452</v>
      </c>
      <c r="D14" s="78">
        <f>'Monthly Balance Sheet'!C6-'Monthly Balance Sheet'!D6</f>
        <v>-524</v>
      </c>
      <c r="E14" s="78">
        <f>'Monthly Balance Sheet'!D6-'Monthly Balance Sheet'!E6</f>
        <v>-476</v>
      </c>
      <c r="F14" s="78">
        <f>'Monthly Balance Sheet'!E6-'Monthly Balance Sheet'!F6</f>
        <v>-419</v>
      </c>
      <c r="G14" s="78">
        <f>'Monthly Balance Sheet'!F6-'Monthly Balance Sheet'!G6</f>
        <v>-13864</v>
      </c>
      <c r="H14" s="1">
        <f>'Monthly Balance Sheet'!G6-'Monthly Balance Sheet'!H6</f>
        <v>-1972.7688806676015</v>
      </c>
      <c r="I14" s="1">
        <f>'Monthly Balance Sheet'!H6-'Monthly Balance Sheet'!I6</f>
        <v>-3688.1654499221477</v>
      </c>
      <c r="J14" s="1">
        <f>'Monthly Balance Sheet'!I6-'Monthly Balance Sheet'!J6</f>
        <v>-3594.2903035640375</v>
      </c>
      <c r="K14" s="1">
        <f>'Monthly Balance Sheet'!J6-'Monthly Balance Sheet'!K6</f>
        <v>-3555.1124427983123</v>
      </c>
      <c r="L14" s="1">
        <f>'Monthly Balance Sheet'!K6-'Monthly Balance Sheet'!L6</f>
        <v>-3429.4729146774116</v>
      </c>
      <c r="M14" s="1">
        <f>'Monthly Balance Sheet'!L6-'Monthly Balance Sheet'!M6</f>
        <v>-3365.1722578247718</v>
      </c>
      <c r="N14" s="1">
        <f>'Monthly Balance Sheet'!M6-'Monthly Balance Sheet'!N6</f>
        <v>-3286.9634743200077</v>
      </c>
      <c r="O14" s="1">
        <f>'Monthly Balance Sheet'!N6-'Monthly Balance Sheet'!O6</f>
        <v>-3241.6549801024084</v>
      </c>
      <c r="P14" s="1">
        <f>'Monthly Balance Sheet'!O6-'Monthly Balance Sheet'!P6</f>
        <v>-3163.4958994258486</v>
      </c>
      <c r="Q14" s="1">
        <f>'Monthly Balance Sheet'!P6-'Monthly Balance Sheet'!Q6</f>
        <v>-3123.1540649464951</v>
      </c>
      <c r="R14" s="1">
        <f>'Monthly Balance Sheet'!Q6-'Monthly Balance Sheet'!R6</f>
        <v>-3038.9057501278221</v>
      </c>
      <c r="S14" s="1">
        <f>'Monthly Balance Sheet'!R6-'Monthly Balance Sheet'!S6</f>
        <v>-2990.9476205977335</v>
      </c>
      <c r="T14" s="1">
        <f>'Monthly Balance Sheet'!S6-'Monthly Balance Sheet'!T6</f>
        <v>-2929.3597859724032</v>
      </c>
      <c r="U14" s="1">
        <f>'Monthly Balance Sheet'!T6-'Monthly Balance Sheet'!U6</f>
        <v>-2914.6334222236255</v>
      </c>
      <c r="V14" s="1">
        <f>'Monthly Balance Sheet'!U6-'Monthly Balance Sheet'!V6</f>
        <v>-2927.4157974151676</v>
      </c>
      <c r="W14" s="1">
        <f>'Monthly Balance Sheet'!V6-'Monthly Balance Sheet'!W6</f>
        <v>-2903.2702863412414</v>
      </c>
      <c r="X14" s="1">
        <f>'Monthly Balance Sheet'!W6-'Monthly Balance Sheet'!X6</f>
        <v>-2697.9585625537147</v>
      </c>
      <c r="Y14" s="1">
        <f>'Monthly Balance Sheet'!X6-'Monthly Balance Sheet'!Y6</f>
        <v>-2659.3392150334694</v>
      </c>
      <c r="Z14" s="1">
        <f>'Monthly Balance Sheet'!Y6-'Monthly Balance Sheet'!Z6</f>
        <v>-2688.3582439996244</v>
      </c>
      <c r="AA14" s="1">
        <f>'Monthly Balance Sheet'!Z6-'Monthly Balance Sheet'!AA6</f>
        <v>-2652.15690095842</v>
      </c>
      <c r="AB14" s="1">
        <f>'Monthly Balance Sheet'!AA6-'Monthly Balance Sheet'!AB6</f>
        <v>-2711.2076775955502</v>
      </c>
      <c r="AC14" s="1">
        <f>'Monthly Balance Sheet'!AB6-'Monthly Balance Sheet'!AC6</f>
        <v>-2747.4480491593713</v>
      </c>
      <c r="AD14" s="1">
        <f>'Monthly Balance Sheet'!AC6-'Monthly Balance Sheet'!AD6</f>
        <v>-2767.9124804590829</v>
      </c>
      <c r="AE14" s="1">
        <f>'Monthly Balance Sheet'!AD6-'Monthly Balance Sheet'!AE6</f>
        <v>-2834.6952497453021</v>
      </c>
      <c r="AF14" s="1">
        <f>'Monthly Balance Sheet'!AE6-'Monthly Balance Sheet'!AF6</f>
        <v>-2858.2288654248114</v>
      </c>
      <c r="AG14" s="1">
        <f>'Monthly Balance Sheet'!AF6-'Monthly Balance Sheet'!AG6</f>
        <v>-2977.579798626859</v>
      </c>
      <c r="AH14" s="1">
        <f>'Monthly Balance Sheet'!AG6-'Monthly Balance Sheet'!AH6</f>
        <v>-3032.2275994937518</v>
      </c>
      <c r="AI14" s="1">
        <f>'Monthly Balance Sheet'!AH6-'Monthly Balance Sheet'!AI6</f>
        <v>-3163.0965563206264</v>
      </c>
      <c r="AJ14" s="1">
        <f>'Monthly Balance Sheet'!AI6-'Monthly Balance Sheet'!AJ6</f>
        <v>-3322.4443941033678</v>
      </c>
      <c r="AK14" s="1">
        <f>'Monthly Balance Sheet'!AJ6-'Monthly Balance Sheet'!AK6</f>
        <v>-3411.7660327919148</v>
      </c>
      <c r="AL14" s="1">
        <f>'Monthly Balance Sheet'!AK6-'Monthly Balance Sheet'!AL6</f>
        <v>-3633.1259946750215</v>
      </c>
      <c r="AM14" s="1">
        <f>'Monthly Balance Sheet'!AL6-'Monthly Balance Sheet'!AM6</f>
        <v>-3861.9939030052337</v>
      </c>
      <c r="AN14" s="1">
        <f>'Monthly Balance Sheet'!AM6-'Monthly Balance Sheet'!AN6</f>
        <v>-4044.0399886401283</v>
      </c>
      <c r="AO14" s="1">
        <f>'Monthly Balance Sheet'!AN6-'Monthly Balance Sheet'!AO6</f>
        <v>-4338.3707789481559</v>
      </c>
      <c r="AP14" s="1">
        <f>'Monthly Balance Sheet'!AO6-'Monthly Balance Sheet'!AP6</f>
        <v>-4641.073171828466</v>
      </c>
      <c r="AQ14" s="1">
        <f>'Monthly Balance Sheet'!AP6-'Monthly Balance Sheet'!AQ6</f>
        <v>-4952.472764363396</v>
      </c>
      <c r="AR14" s="1">
        <f>'Monthly Balance Sheet'!AQ6-'Monthly Balance Sheet'!AR6</f>
        <v>-5383.7732050949708</v>
      </c>
      <c r="AS14" s="1">
        <f>'Monthly Balance Sheet'!AR6-'Monthly Balance Sheet'!AS6</f>
        <v>-5741.845767853607</v>
      </c>
      <c r="AT14" s="1">
        <f>'Monthly Balance Sheet'!AS6-'Monthly Balance Sheet'!AT6</f>
        <v>-6284.5188778765441</v>
      </c>
      <c r="AU14" s="1">
        <f>'Monthly Balance Sheet'!AT6-'Monthly Balance Sheet'!AU6</f>
        <v>-6745.1742602853046</v>
      </c>
      <c r="AV14" s="1">
        <f>'Monthly Balance Sheet'!AU6-'Monthly Balance Sheet'!AV6</f>
        <v>-7396.3401107690297</v>
      </c>
      <c r="AW14" s="1">
        <f>'Monthly Balance Sheet'!AV6-'Monthly Balance Sheet'!AW6</f>
        <v>-8066.3831152106577</v>
      </c>
      <c r="AX14" s="1">
        <f>'Monthly Balance Sheet'!AW6-'Monthly Balance Sheet'!AX6</f>
        <v>-8781.9090519770107</v>
      </c>
      <c r="AY14" s="1">
        <f>'Monthly Balance Sheet'!AX6-'Monthly Balance Sheet'!AY6</f>
        <v>-9637.4780833311088</v>
      </c>
      <c r="AZ14" s="1">
        <f>'Monthly Balance Sheet'!AY6-'Monthly Balance Sheet'!AZ6</f>
        <v>-10544.182939441787</v>
      </c>
      <c r="BA14" s="1">
        <f>'Monthly Balance Sheet'!AZ6-'Monthly Balance Sheet'!BA6</f>
        <v>-11503.015054222953</v>
      </c>
      <c r="BB14" s="1">
        <f>'Monthly Balance Sheet'!BA6-'Monthly Balance Sheet'!BB6</f>
        <v>-12736.757390928105</v>
      </c>
      <c r="BC14" s="1">
        <f>'Monthly Balance Sheet'!BB6-'Monthly Balance Sheet'!BC6</f>
        <v>-14007.517143062723</v>
      </c>
      <c r="BD14" s="1">
        <f>'Monthly Balance Sheet'!BC6-'Monthly Balance Sheet'!BD6</f>
        <v>-15420.205193366477</v>
      </c>
      <c r="BE14" s="1">
        <f>'Monthly Balance Sheet'!BD6-'Monthly Balance Sheet'!BE6</f>
        <v>-17025.85099352125</v>
      </c>
      <c r="BF14" s="1">
        <f>'Monthly Balance Sheet'!BE6-'Monthly Balance Sheet'!BF6</f>
        <v>-18811.543037649186</v>
      </c>
      <c r="BG14" s="1">
        <f>'Monthly Balance Sheet'!BF6-'Monthly Balance Sheet'!BG6</f>
        <v>-20781.26233620994</v>
      </c>
      <c r="BH14" s="1">
        <f>'Monthly Balance Sheet'!BG6-'Monthly Balance Sheet'!BH6</f>
        <v>-22969.296334092855</v>
      </c>
      <c r="BI14" s="1">
        <f>'Monthly Balance Sheet'!BH6-'Monthly Balance Sheet'!BI6</f>
        <v>-25410.336428445473</v>
      </c>
      <c r="BJ14" s="1">
        <f>'Monthly Balance Sheet'!BI6-'Monthly Balance Sheet'!BJ6</f>
        <v>-28172.200424321287</v>
      </c>
    </row>
    <row r="15" spans="1:62" x14ac:dyDescent="0.2">
      <c r="B15" s="37" t="s">
        <v>127</v>
      </c>
      <c r="C15" s="78"/>
      <c r="D15" s="78"/>
      <c r="E15" s="78"/>
      <c r="F15" s="78"/>
      <c r="G15" s="7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x14ac:dyDescent="0.2">
      <c r="B16" s="37" t="s">
        <v>128</v>
      </c>
      <c r="C16" s="78"/>
      <c r="D16" s="78"/>
      <c r="E16" s="78"/>
      <c r="F16" s="78"/>
      <c r="G16" s="7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2:62" x14ac:dyDescent="0.2">
      <c r="B17" s="37" t="s">
        <v>129</v>
      </c>
      <c r="C17" s="78"/>
      <c r="D17" s="78"/>
      <c r="E17" s="78"/>
      <c r="F17" s="78"/>
      <c r="G17" s="7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2:62" x14ac:dyDescent="0.2">
      <c r="B18" s="38" t="s">
        <v>130</v>
      </c>
      <c r="C18" s="77">
        <f t="shared" ref="C18:G18" si="47">SUM(C11:C17)</f>
        <v>-32661.921666666669</v>
      </c>
      <c r="D18" s="77">
        <f t="shared" si="47"/>
        <v>-42626.182166666673</v>
      </c>
      <c r="E18" s="77">
        <f t="shared" si="47"/>
        <v>-48683.581666666665</v>
      </c>
      <c r="F18" s="77">
        <f t="shared" si="47"/>
        <v>-85077.842333333349</v>
      </c>
      <c r="G18" s="77">
        <f t="shared" si="47"/>
        <v>-107884.48733333334</v>
      </c>
      <c r="H18" s="9">
        <f t="shared" ref="H18:P18" si="48">SUM(H11:H17)</f>
        <v>-99962.953906925875</v>
      </c>
      <c r="I18" s="9">
        <f t="shared" si="48"/>
        <v>-108578.16167778056</v>
      </c>
      <c r="J18" s="9">
        <f t="shared" si="48"/>
        <v>-111919.20903075144</v>
      </c>
      <c r="K18" s="9">
        <f t="shared" si="48"/>
        <v>-115156.20280374636</v>
      </c>
      <c r="L18" s="9">
        <f t="shared" si="48"/>
        <v>-118329.83410068572</v>
      </c>
      <c r="M18" s="9">
        <f t="shared" si="48"/>
        <v>-121371.3257105918</v>
      </c>
      <c r="N18" s="9">
        <f t="shared" si="48"/>
        <v>-124335.73233790937</v>
      </c>
      <c r="O18" s="9">
        <f t="shared" si="48"/>
        <v>-131670.46680027858</v>
      </c>
      <c r="P18" s="9">
        <f t="shared" si="48"/>
        <v>-151382.13209334979</v>
      </c>
      <c r="Q18" s="9">
        <f t="shared" ref="Q18" si="49">SUM(Q11:Q17)</f>
        <v>-144116.15077870883</v>
      </c>
      <c r="R18" s="9">
        <f t="shared" ref="R18" si="50">SUM(R11:R17)</f>
        <v>-146797.14727881824</v>
      </c>
      <c r="S18" s="9">
        <f t="shared" ref="S18" si="51">SUM(S11:S17)</f>
        <v>-149379.59360791923</v>
      </c>
      <c r="T18" s="9">
        <f t="shared" ref="T18" si="52">SUM(T11:T17)</f>
        <v>-151921.04218447037</v>
      </c>
      <c r="U18" s="9">
        <f t="shared" ref="U18" si="53">SUM(U11:U17)</f>
        <v>-154393.4403292723</v>
      </c>
      <c r="V18" s="9">
        <f t="shared" ref="V18" si="54">SUM(V11:V17)</f>
        <v>-156843.98545827164</v>
      </c>
      <c r="W18" s="9">
        <f t="shared" ref="W18" si="55">SUM(W11:W17)</f>
        <v>-159291.83399166155</v>
      </c>
      <c r="X18" s="9">
        <f t="shared" ref="X18" si="56">SUM(X11:X17)</f>
        <v>-159741.06163402056</v>
      </c>
      <c r="Y18" s="9">
        <f t="shared" ref="Y18" si="57">SUM(Y11:Y17)</f>
        <v>-179006.46805858507</v>
      </c>
      <c r="Z18" s="9">
        <f t="shared" ref="Z18" si="58">SUM(Z11:Z17)</f>
        <v>-171344.81557180628</v>
      </c>
      <c r="AA18" s="9">
        <f t="shared" ref="AA18:AB18" si="59">SUM(AA11:AA17)</f>
        <v>-173705.38232634301</v>
      </c>
      <c r="AB18" s="9">
        <f t="shared" si="59"/>
        <v>-176044.5328933163</v>
      </c>
      <c r="AC18" s="9">
        <f t="shared" ref="AC18" si="60">SUM(AC11:AC17)</f>
        <v>-178435.00243213883</v>
      </c>
      <c r="AD18" s="9">
        <f t="shared" ref="AD18" si="61">SUM(AD11:AD17)</f>
        <v>-180860.84405414705</v>
      </c>
      <c r="AE18" s="9">
        <f t="shared" ref="AE18" si="62">SUM(AE11:AE17)</f>
        <v>-183308.11121089972</v>
      </c>
      <c r="AF18" s="9">
        <f t="shared" ref="AF18" si="63">SUM(AF11:AF17)</f>
        <v>-185813.9820482496</v>
      </c>
      <c r="AG18" s="9">
        <f t="shared" ref="AG18" si="64">SUM(AG11:AG17)</f>
        <v>-188347.27742485612</v>
      </c>
      <c r="AH18" s="9">
        <f t="shared" ref="AH18" si="65">SUM(AH11:AH17)</f>
        <v>-190988.28212476181</v>
      </c>
      <c r="AI18" s="9">
        <f t="shared" ref="AI18" si="66">SUM(AI11:AI17)</f>
        <v>-193684.25220317853</v>
      </c>
      <c r="AJ18" s="9">
        <f t="shared" ref="AJ18" si="67">SUM(AJ11:AJ17)</f>
        <v>-196498.0817288351</v>
      </c>
      <c r="AK18" s="9">
        <f t="shared" ref="AK18" si="68">SUM(AK11:AK17)</f>
        <v>-199454.60215465876</v>
      </c>
      <c r="AL18" s="9">
        <f t="shared" ref="AL18" si="69">SUM(AL11:AL17)</f>
        <v>-202500.14801115799</v>
      </c>
      <c r="AM18" s="9">
        <f t="shared" ref="AM18:AN18" si="70">SUM(AM11:AM17)</f>
        <v>-205746.20246610799</v>
      </c>
      <c r="AN18" s="9">
        <f t="shared" si="70"/>
        <v>-209195.98210906546</v>
      </c>
      <c r="AO18" s="9">
        <f t="shared" ref="AO18" si="71">SUM(AO11:AO17)</f>
        <v>-212819.51173503147</v>
      </c>
      <c r="AP18" s="9">
        <f t="shared" ref="AP18" si="72">SUM(AP11:AP17)</f>
        <v>-216707.8705821386</v>
      </c>
      <c r="AQ18" s="9">
        <f t="shared" ref="AQ18" si="73">SUM(AQ11:AQ17)</f>
        <v>-220868.66615053418</v>
      </c>
      <c r="AR18" s="9">
        <f t="shared" ref="AR18" si="74">SUM(AR11:AR17)</f>
        <v>-225320.48760645656</v>
      </c>
      <c r="AS18" s="9">
        <f t="shared" ref="AS18" si="75">SUM(AS11:AS17)</f>
        <v>-230153.85958691867</v>
      </c>
      <c r="AT18" s="9">
        <f t="shared" ref="AT18" si="76">SUM(AT11:AT17)</f>
        <v>-235323.92008255961</v>
      </c>
      <c r="AU18" s="9">
        <f t="shared" ref="AU18" si="77">SUM(AU11:AU17)</f>
        <v>-240979.9285554594</v>
      </c>
      <c r="AV18" s="9">
        <f t="shared" ref="AV18" si="78">SUM(AV11:AV17)</f>
        <v>-247063.14460371359</v>
      </c>
      <c r="AW18" s="9">
        <f t="shared" ref="AW18" si="79">SUM(AW11:AW17)</f>
        <v>-253732.9503321822</v>
      </c>
      <c r="AX18" s="9">
        <f t="shared" ref="AX18" si="80">SUM(AX11:AX17)</f>
        <v>-261009.95229070741</v>
      </c>
      <c r="AY18" s="9">
        <f t="shared" ref="AY18:AZ18" si="81">SUM(AY11:AY17)</f>
        <v>-268942.43839894165</v>
      </c>
      <c r="AZ18" s="9">
        <f t="shared" si="81"/>
        <v>-277649.72408914496</v>
      </c>
      <c r="BA18" s="9">
        <f t="shared" ref="BA18" si="82">SUM(BA11:BA17)</f>
        <v>-287177.37856133992</v>
      </c>
      <c r="BB18" s="9">
        <f t="shared" ref="BB18" si="83">SUM(BB11:BB17)</f>
        <v>-297591.5784942577</v>
      </c>
      <c r="BC18" s="9">
        <f t="shared" ref="BC18" si="84">SUM(BC11:BC17)</f>
        <v>-309119.16934900626</v>
      </c>
      <c r="BD18" s="9">
        <f t="shared" ref="BD18" si="85">SUM(BD11:BD17)</f>
        <v>-321807.51938909327</v>
      </c>
      <c r="BE18" s="9">
        <f t="shared" ref="BE18" si="86">SUM(BE11:BE17)</f>
        <v>-333995.14599295182</v>
      </c>
      <c r="BF18" s="9">
        <f t="shared" ref="BF18" si="87">SUM(BF11:BF17)</f>
        <v>-366335.26439102803</v>
      </c>
      <c r="BG18" s="9">
        <f t="shared" ref="BG18" si="88">SUM(BG11:BG17)</f>
        <v>-373398.6598706065</v>
      </c>
      <c r="BH18" s="9">
        <f t="shared" ref="BH18" si="89">SUM(BH11:BH17)</f>
        <v>-392256.60381363</v>
      </c>
      <c r="BI18" s="9">
        <f t="shared" ref="BI18" si="90">SUM(BI11:BI17)</f>
        <v>-413110.65165002469</v>
      </c>
      <c r="BJ18" s="9">
        <f t="shared" ref="BJ18" si="91">SUM(BJ11:BJ17)</f>
        <v>-436191.87364310469</v>
      </c>
    </row>
    <row r="19" spans="2:62" x14ac:dyDescent="0.2">
      <c r="C19" s="78"/>
      <c r="D19" s="78"/>
      <c r="E19" s="78"/>
      <c r="F19" s="78"/>
      <c r="G19" s="7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2:62" x14ac:dyDescent="0.2">
      <c r="B20" s="39" t="s">
        <v>131</v>
      </c>
      <c r="C20" s="78">
        <f t="shared" ref="C20:G20" si="92">C9+C18</f>
        <v>-32604.657921666669</v>
      </c>
      <c r="D20" s="78">
        <f t="shared" si="92"/>
        <v>-39027.790442666672</v>
      </c>
      <c r="E20" s="78">
        <f t="shared" si="92"/>
        <v>-44786.061886866664</v>
      </c>
      <c r="F20" s="78">
        <f t="shared" si="92"/>
        <v>-80712.984428533353</v>
      </c>
      <c r="G20" s="78">
        <f t="shared" si="92"/>
        <v>-102968.19126933333</v>
      </c>
      <c r="H20" s="1">
        <f t="shared" ref="H20:P20" si="93">H9+H18</f>
        <v>-77506.953906925875</v>
      </c>
      <c r="I20" s="1">
        <f t="shared" si="93"/>
        <v>-80967.803170223764</v>
      </c>
      <c r="J20" s="1">
        <f t="shared" si="93"/>
        <v>-79391.296589965117</v>
      </c>
      <c r="K20" s="1">
        <f t="shared" si="93"/>
        <v>-77835.903291541312</v>
      </c>
      <c r="L20" s="1">
        <f t="shared" si="93"/>
        <v>-76269.384664749581</v>
      </c>
      <c r="M20" s="1">
        <f t="shared" si="93"/>
        <v>-74738.245721752464</v>
      </c>
      <c r="N20" s="1">
        <f t="shared" si="93"/>
        <v>-73215.756005303672</v>
      </c>
      <c r="O20" s="1">
        <f t="shared" si="93"/>
        <v>-76167.872501912847</v>
      </c>
      <c r="P20" s="1">
        <f t="shared" si="93"/>
        <v>-91557.331154847532</v>
      </c>
      <c r="Q20" s="1">
        <f t="shared" ref="Q20:BJ20" si="94">Q9+Q18</f>
        <v>-80073.355307638776</v>
      </c>
      <c r="R20" s="1">
        <f t="shared" si="94"/>
        <v>-78590.146387819521</v>
      </c>
      <c r="S20" s="1">
        <f t="shared" si="94"/>
        <v>-77120.718383416752</v>
      </c>
      <c r="T20" s="1">
        <f t="shared" si="94"/>
        <v>-75674.236799170903</v>
      </c>
      <c r="U20" s="1">
        <f t="shared" si="94"/>
        <v>-74240.821896009627</v>
      </c>
      <c r="V20" s="1">
        <f t="shared" si="94"/>
        <v>-72805.189128710801</v>
      </c>
      <c r="W20" s="1">
        <f t="shared" si="94"/>
        <v>-71349.816598880498</v>
      </c>
      <c r="X20" s="1">
        <f t="shared" si="94"/>
        <v>-67928.017192784508</v>
      </c>
      <c r="Y20" s="1">
        <f t="shared" si="94"/>
        <v>-83596.145533944073</v>
      </c>
      <c r="Z20" s="1">
        <f t="shared" si="94"/>
        <v>-72388.707427120651</v>
      </c>
      <c r="AA20" s="1">
        <f t="shared" si="94"/>
        <v>-71164.796522991222</v>
      </c>
      <c r="AB20" s="1">
        <f t="shared" si="94"/>
        <v>-69967.737888686606</v>
      </c>
      <c r="AC20" s="1">
        <f t="shared" si="94"/>
        <v>-68743.263857381753</v>
      </c>
      <c r="AD20" s="1">
        <f t="shared" si="94"/>
        <v>-67505.841413844129</v>
      </c>
      <c r="AE20" s="1">
        <f t="shared" si="94"/>
        <v>-66262.558596651361</v>
      </c>
      <c r="AF20" s="1">
        <f t="shared" si="94"/>
        <v>-64988.835767674173</v>
      </c>
      <c r="AG20" s="1">
        <f t="shared" si="94"/>
        <v>-63711.159323714266</v>
      </c>
      <c r="AH20" s="1">
        <f t="shared" si="94"/>
        <v>-62382.057625450834</v>
      </c>
      <c r="AI20" s="1">
        <f t="shared" si="94"/>
        <v>-61035.05757120921</v>
      </c>
      <c r="AJ20" s="1">
        <f t="shared" si="94"/>
        <v>-59631.425021771603</v>
      </c>
      <c r="AK20" s="1">
        <f t="shared" si="94"/>
        <v>-58158.019588790776</v>
      </c>
      <c r="AL20" s="1">
        <f t="shared" si="94"/>
        <v>-56654.544068234129</v>
      </c>
      <c r="AM20" s="1">
        <f t="shared" si="94"/>
        <v>-55056.430530284095</v>
      </c>
      <c r="AN20" s="1">
        <f t="shared" si="94"/>
        <v>-53356.884969234583</v>
      </c>
      <c r="AO20" s="1">
        <f t="shared" si="94"/>
        <v>-51588.361277013755</v>
      </c>
      <c r="AP20" s="1">
        <f t="shared" si="94"/>
        <v>-49692.225752190017</v>
      </c>
      <c r="AQ20" s="1">
        <f t="shared" si="94"/>
        <v>-47664.923758147634</v>
      </c>
      <c r="AR20" s="1">
        <f t="shared" si="94"/>
        <v>-45513.448194918805</v>
      </c>
      <c r="AS20" s="1">
        <f t="shared" si="94"/>
        <v>-43168.45590192097</v>
      </c>
      <c r="AT20" s="1">
        <f t="shared" si="94"/>
        <v>-40682.722040423745</v>
      </c>
      <c r="AU20" s="1">
        <f t="shared" si="94"/>
        <v>-37959.372009488172</v>
      </c>
      <c r="AV20" s="1">
        <f t="shared" si="94"/>
        <v>-35049.022377361951</v>
      </c>
      <c r="AW20" s="1">
        <f t="shared" si="94"/>
        <v>-31857.041291471833</v>
      </c>
      <c r="AX20" s="1">
        <f t="shared" si="94"/>
        <v>-28378.865763049514</v>
      </c>
      <c r="AY20" s="1">
        <f t="shared" si="94"/>
        <v>-24602.139801981102</v>
      </c>
      <c r="AZ20" s="1">
        <f t="shared" si="94"/>
        <v>-20459.45471440957</v>
      </c>
      <c r="BA20" s="1">
        <f t="shared" si="94"/>
        <v>-15928.198600682139</v>
      </c>
      <c r="BB20" s="1">
        <f t="shared" si="94"/>
        <v>-11005.045127969352</v>
      </c>
      <c r="BC20" s="1">
        <f t="shared" si="94"/>
        <v>-5550.2927948137512</v>
      </c>
      <c r="BD20" s="1">
        <f t="shared" si="94"/>
        <v>438.04668918286916</v>
      </c>
      <c r="BE20" s="1">
        <f t="shared" si="94"/>
        <v>8810.6936764796264</v>
      </c>
      <c r="BF20" s="1">
        <f t="shared" si="94"/>
        <v>-828.29006356827449</v>
      </c>
      <c r="BG20" s="1">
        <f t="shared" si="94"/>
        <v>17190.371840385546</v>
      </c>
      <c r="BH20" s="1">
        <f t="shared" si="94"/>
        <v>26040.777678975312</v>
      </c>
      <c r="BI20" s="1">
        <f t="shared" si="94"/>
        <v>35812.458288037684</v>
      </c>
      <c r="BJ20" s="1">
        <f t="shared" si="94"/>
        <v>46611.684866218362</v>
      </c>
    </row>
    <row r="21" spans="2:62" x14ac:dyDescent="0.2">
      <c r="B21" s="39"/>
      <c r="C21" s="78"/>
      <c r="D21" s="78"/>
      <c r="E21" s="78"/>
      <c r="F21" s="78"/>
      <c r="G21" s="7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2:62" x14ac:dyDescent="0.2">
      <c r="B22" s="37" t="s">
        <v>132</v>
      </c>
      <c r="C22" s="78">
        <f>'Monthly Income Statement'!C39</f>
        <v>1000000</v>
      </c>
      <c r="D22" s="78">
        <f>'Monthly Income Statement'!D39</f>
        <v>0</v>
      </c>
      <c r="E22" s="78">
        <f>'Monthly Income Statement'!E39</f>
        <v>0</v>
      </c>
      <c r="F22" s="78">
        <f>'Monthly Income Statement'!F39</f>
        <v>0</v>
      </c>
      <c r="G22" s="78">
        <f>'Monthly Income Statement'!G39</f>
        <v>0</v>
      </c>
      <c r="H22" s="1">
        <f>'Monthly Income Statement'!H39</f>
        <v>0</v>
      </c>
      <c r="I22" s="1">
        <f>'Monthly Income Statement'!I39</f>
        <v>0</v>
      </c>
      <c r="J22" s="1">
        <f>'Monthly Income Statement'!J39</f>
        <v>0</v>
      </c>
      <c r="K22" s="1">
        <f>'Monthly Income Statement'!K39</f>
        <v>0</v>
      </c>
      <c r="L22" s="1">
        <f>'Monthly Income Statement'!L39</f>
        <v>0</v>
      </c>
      <c r="M22" s="1">
        <f>'Monthly Income Statement'!M39</f>
        <v>0</v>
      </c>
      <c r="N22" s="1">
        <f>'Monthly Income Statement'!N39</f>
        <v>0</v>
      </c>
      <c r="O22" s="1">
        <f>'Monthly Income Statement'!O39</f>
        <v>2500000</v>
      </c>
      <c r="P22" s="1">
        <f>'Monthly Income Statement'!P39</f>
        <v>0</v>
      </c>
      <c r="Q22" s="1">
        <f>'Monthly Income Statement'!Q39</f>
        <v>0</v>
      </c>
      <c r="R22" s="1">
        <f>'Monthly Income Statement'!R39</f>
        <v>0</v>
      </c>
      <c r="S22" s="1">
        <f>'Monthly Income Statement'!S39</f>
        <v>0</v>
      </c>
      <c r="T22" s="1">
        <f>'Monthly Income Statement'!T39</f>
        <v>0</v>
      </c>
      <c r="U22" s="1">
        <f>'Monthly Income Statement'!U39</f>
        <v>0</v>
      </c>
      <c r="V22" s="1">
        <f>'Monthly Income Statement'!V39</f>
        <v>0</v>
      </c>
      <c r="W22" s="1">
        <f>'Monthly Income Statement'!W39</f>
        <v>0</v>
      </c>
      <c r="X22" s="1">
        <f>'Monthly Income Statement'!X39</f>
        <v>0</v>
      </c>
      <c r="Y22" s="1">
        <f>'Monthly Income Statement'!Y39</f>
        <v>0</v>
      </c>
      <c r="Z22" s="1">
        <f>'Monthly Income Statement'!Z39</f>
        <v>0</v>
      </c>
      <c r="AA22" s="1">
        <f>'Monthly Income Statement'!AA39</f>
        <v>0</v>
      </c>
      <c r="AB22" s="1">
        <f>'Monthly Income Statement'!AB39</f>
        <v>0</v>
      </c>
      <c r="AC22" s="1">
        <f>'Monthly Income Statement'!AC39</f>
        <v>0</v>
      </c>
      <c r="AD22" s="1">
        <f>'Monthly Income Statement'!AD39</f>
        <v>0</v>
      </c>
      <c r="AE22" s="1">
        <f>'Monthly Income Statement'!AE39</f>
        <v>0</v>
      </c>
      <c r="AF22" s="1">
        <f>'Monthly Income Statement'!AF39</f>
        <v>0</v>
      </c>
      <c r="AG22" s="1">
        <f>'Monthly Income Statement'!AG39</f>
        <v>0</v>
      </c>
      <c r="AH22" s="1">
        <f>'Monthly Income Statement'!AH39</f>
        <v>0</v>
      </c>
      <c r="AI22" s="1">
        <f>'Monthly Income Statement'!AI39</f>
        <v>0</v>
      </c>
      <c r="AJ22" s="1">
        <f>'Monthly Income Statement'!AJ39</f>
        <v>0</v>
      </c>
      <c r="AK22" s="1">
        <f>'Monthly Income Statement'!AK39</f>
        <v>0</v>
      </c>
      <c r="AL22" s="1">
        <f>'Monthly Income Statement'!AL39</f>
        <v>0</v>
      </c>
      <c r="AM22" s="1">
        <f>'Monthly Income Statement'!AM39</f>
        <v>0</v>
      </c>
      <c r="AN22" s="1">
        <f>'Monthly Income Statement'!AN39</f>
        <v>0</v>
      </c>
      <c r="AO22" s="1">
        <f>'Monthly Income Statement'!AO39</f>
        <v>0</v>
      </c>
      <c r="AP22" s="1">
        <f>'Monthly Income Statement'!AP39</f>
        <v>0</v>
      </c>
      <c r="AQ22" s="1">
        <f>'Monthly Income Statement'!AQ39</f>
        <v>0</v>
      </c>
      <c r="AR22" s="1">
        <f>'Monthly Income Statement'!AR39</f>
        <v>0</v>
      </c>
      <c r="AS22" s="1">
        <f>'Monthly Income Statement'!AS39</f>
        <v>0</v>
      </c>
      <c r="AT22" s="1">
        <f>'Monthly Income Statement'!AT39</f>
        <v>0</v>
      </c>
      <c r="AU22" s="1">
        <f>'Monthly Income Statement'!AU39</f>
        <v>0</v>
      </c>
      <c r="AV22" s="1">
        <f>'Monthly Income Statement'!AV39</f>
        <v>0</v>
      </c>
      <c r="AW22" s="1">
        <f>'Monthly Income Statement'!AW39</f>
        <v>0</v>
      </c>
      <c r="AX22" s="1">
        <f>'Monthly Income Statement'!AX39</f>
        <v>0</v>
      </c>
      <c r="AY22" s="1">
        <f>'Monthly Income Statement'!AY39</f>
        <v>0</v>
      </c>
      <c r="AZ22" s="1">
        <f>'Monthly Income Statement'!AZ39</f>
        <v>0</v>
      </c>
      <c r="BA22" s="1">
        <f>'Monthly Income Statement'!BA39</f>
        <v>0</v>
      </c>
      <c r="BB22" s="1">
        <f>'Monthly Income Statement'!BB39</f>
        <v>0</v>
      </c>
      <c r="BC22" s="1">
        <f>'Monthly Income Statement'!BC39</f>
        <v>0</v>
      </c>
      <c r="BD22" s="1">
        <f>'Monthly Income Statement'!BD39</f>
        <v>0</v>
      </c>
      <c r="BE22" s="1">
        <f>'Monthly Income Statement'!BE39</f>
        <v>0</v>
      </c>
      <c r="BF22" s="1">
        <f>'Monthly Income Statement'!BF39</f>
        <v>0</v>
      </c>
      <c r="BG22" s="1">
        <f>'Monthly Income Statement'!BG39</f>
        <v>0</v>
      </c>
      <c r="BH22" s="1">
        <f>'Monthly Income Statement'!BH39</f>
        <v>0</v>
      </c>
      <c r="BI22" s="1">
        <f>'Monthly Income Statement'!BI39</f>
        <v>0</v>
      </c>
      <c r="BJ22" s="1">
        <f>'Monthly Income Statement'!BJ39</f>
        <v>0</v>
      </c>
    </row>
    <row r="23" spans="2:62" x14ac:dyDescent="0.2">
      <c r="B23" s="37" t="s">
        <v>133</v>
      </c>
      <c r="C23" s="78"/>
      <c r="D23" s="78"/>
      <c r="E23" s="78"/>
      <c r="F23" s="78"/>
      <c r="G23" s="7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2:62" x14ac:dyDescent="0.2">
      <c r="B24" s="37" t="s">
        <v>134</v>
      </c>
      <c r="C24" s="78"/>
      <c r="D24" s="78"/>
      <c r="E24" s="78"/>
      <c r="F24" s="78"/>
      <c r="G24" s="7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2:62" x14ac:dyDescent="0.2">
      <c r="B25" s="37" t="s">
        <v>135</v>
      </c>
      <c r="C25" s="78"/>
      <c r="D25" s="78"/>
      <c r="E25" s="78"/>
      <c r="F25" s="78"/>
      <c r="G25" s="7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2:62" x14ac:dyDescent="0.2">
      <c r="B26" s="37"/>
      <c r="C26" s="78"/>
      <c r="D26" s="78"/>
      <c r="E26" s="78"/>
      <c r="F26" s="78"/>
      <c r="G26" s="7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2:62" s="65" customFormat="1" x14ac:dyDescent="0.2">
      <c r="B27" s="96" t="s">
        <v>136</v>
      </c>
      <c r="C27" s="95">
        <f t="shared" ref="C27:P27" si="95">C3+SUM(C20:C26)</f>
        <v>967395.34207833337</v>
      </c>
      <c r="D27" s="95">
        <f t="shared" si="95"/>
        <v>928367.55163566675</v>
      </c>
      <c r="E27" s="95">
        <f t="shared" si="95"/>
        <v>883581.48974880006</v>
      </c>
      <c r="F27" s="95">
        <f t="shared" si="95"/>
        <v>802868.5053202667</v>
      </c>
      <c r="G27" s="95">
        <f t="shared" si="95"/>
        <v>699900.31405093335</v>
      </c>
      <c r="H27" s="95">
        <f t="shared" si="95"/>
        <v>622393.36014400749</v>
      </c>
      <c r="I27" s="95">
        <f t="shared" si="95"/>
        <v>541425.55697378376</v>
      </c>
      <c r="J27" s="95">
        <f t="shared" si="95"/>
        <v>462034.26038381865</v>
      </c>
      <c r="K27" s="95">
        <f t="shared" si="95"/>
        <v>384198.35709227732</v>
      </c>
      <c r="L27" s="95">
        <f t="shared" si="95"/>
        <v>307928.97242752777</v>
      </c>
      <c r="M27" s="95">
        <f t="shared" si="95"/>
        <v>233190.72670577531</v>
      </c>
      <c r="N27" s="95">
        <f t="shared" si="95"/>
        <v>159974.97070047163</v>
      </c>
      <c r="O27" s="95">
        <f t="shared" si="95"/>
        <v>2583807.0981985587</v>
      </c>
      <c r="P27" s="95">
        <f t="shared" si="95"/>
        <v>2492249.7670437112</v>
      </c>
      <c r="Q27" s="95">
        <f t="shared" ref="Q27" si="96">Q3+SUM(Q20:Q26)</f>
        <v>2412176.4117360725</v>
      </c>
      <c r="R27" s="95">
        <f t="shared" ref="R27" si="97">R3+SUM(R20:R26)</f>
        <v>2333586.2653482528</v>
      </c>
      <c r="S27" s="95">
        <f t="shared" ref="S27" si="98">S3+SUM(S20:S26)</f>
        <v>2256465.5469648363</v>
      </c>
      <c r="T27" s="95">
        <f t="shared" ref="T27" si="99">T3+SUM(T20:T26)</f>
        <v>2180791.3101656656</v>
      </c>
      <c r="U27" s="95">
        <f t="shared" ref="U27" si="100">U3+SUM(U20:U26)</f>
        <v>2106550.488269656</v>
      </c>
      <c r="V27" s="95">
        <f t="shared" ref="V27" si="101">V3+SUM(V20:V26)</f>
        <v>2033745.2991409451</v>
      </c>
      <c r="W27" s="95">
        <f t="shared" ref="W27" si="102">W3+SUM(W20:W26)</f>
        <v>1962395.4825420645</v>
      </c>
      <c r="X27" s="95">
        <f t="shared" ref="X27" si="103">X3+SUM(X20:X26)</f>
        <v>1894467.46534928</v>
      </c>
      <c r="Y27" s="95">
        <f t="shared" ref="Y27" si="104">Y3+SUM(Y20:Y26)</f>
        <v>1810871.319815336</v>
      </c>
      <c r="Z27" s="95">
        <f t="shared" ref="Z27" si="105">Z3+SUM(Z20:Z26)</f>
        <v>1738482.6123882155</v>
      </c>
      <c r="AA27" s="95">
        <f t="shared" ref="AA27:AB27" si="106">AA3+SUM(AA20:AA26)</f>
        <v>1667317.8158652242</v>
      </c>
      <c r="AB27" s="95">
        <f t="shared" si="106"/>
        <v>1597350.0779765376</v>
      </c>
      <c r="AC27" s="95">
        <f t="shared" ref="AC27" si="107">AC3+SUM(AC20:AC26)</f>
        <v>1528606.814119156</v>
      </c>
      <c r="AD27" s="95">
        <f t="shared" ref="AD27" si="108">AD3+SUM(AD20:AD26)</f>
        <v>1461100.9727053118</v>
      </c>
      <c r="AE27" s="95">
        <f t="shared" ref="AE27" si="109">AE3+SUM(AE20:AE26)</f>
        <v>1394838.4141086605</v>
      </c>
      <c r="AF27" s="95">
        <f t="shared" ref="AF27" si="110">AF3+SUM(AF20:AF26)</f>
        <v>1329849.5783409863</v>
      </c>
      <c r="AG27" s="95">
        <f t="shared" ref="AG27" si="111">AG3+SUM(AG20:AG26)</f>
        <v>1266138.4190172721</v>
      </c>
      <c r="AH27" s="95">
        <f t="shared" ref="AH27" si="112">AH3+SUM(AH20:AH26)</f>
        <v>1203756.3613918212</v>
      </c>
      <c r="AI27" s="95">
        <f t="shared" ref="AI27" si="113">AI3+SUM(AI20:AI26)</f>
        <v>1142721.3038206119</v>
      </c>
      <c r="AJ27" s="95">
        <f t="shared" ref="AJ27" si="114">AJ3+SUM(AJ20:AJ26)</f>
        <v>1083089.8787988403</v>
      </c>
      <c r="AK27" s="95">
        <f t="shared" ref="AK27" si="115">AK3+SUM(AK20:AK26)</f>
        <v>1024931.8592100495</v>
      </c>
      <c r="AL27" s="95">
        <f t="shared" ref="AL27" si="116">AL3+SUM(AL20:AL26)</f>
        <v>968277.31514181534</v>
      </c>
      <c r="AM27" s="95">
        <f t="shared" ref="AM27:AN27" si="117">AM3+SUM(AM20:AM26)</f>
        <v>913220.88461153128</v>
      </c>
      <c r="AN27" s="95">
        <f t="shared" si="117"/>
        <v>859863.99964229669</v>
      </c>
      <c r="AO27" s="95">
        <f t="shared" ref="AO27" si="118">AO3+SUM(AO20:AO26)</f>
        <v>808275.63836528291</v>
      </c>
      <c r="AP27" s="95">
        <f t="shared" ref="AP27" si="119">AP3+SUM(AP20:AP26)</f>
        <v>758583.41261309292</v>
      </c>
      <c r="AQ27" s="95">
        <f t="shared" ref="AQ27" si="120">AQ3+SUM(AQ20:AQ26)</f>
        <v>710918.48885494529</v>
      </c>
      <c r="AR27" s="95">
        <f t="shared" ref="AR27" si="121">AR3+SUM(AR20:AR26)</f>
        <v>665405.04066002648</v>
      </c>
      <c r="AS27" s="95">
        <f t="shared" ref="AS27" si="122">AS3+SUM(AS20:AS26)</f>
        <v>622236.58475810545</v>
      </c>
      <c r="AT27" s="95">
        <f t="shared" ref="AT27" si="123">AT3+SUM(AT20:AT26)</f>
        <v>581553.86271768168</v>
      </c>
      <c r="AU27" s="95">
        <f t="shared" ref="AU27" si="124">AU3+SUM(AU20:AU26)</f>
        <v>543594.49070819351</v>
      </c>
      <c r="AV27" s="95">
        <f t="shared" ref="AV27" si="125">AV3+SUM(AV20:AV26)</f>
        <v>508545.46833083156</v>
      </c>
      <c r="AW27" s="95">
        <f t="shared" ref="AW27" si="126">AW3+SUM(AW20:AW26)</f>
        <v>476688.4270393597</v>
      </c>
      <c r="AX27" s="95">
        <f t="shared" ref="AX27" si="127">AX3+SUM(AX20:AX26)</f>
        <v>448309.56127631018</v>
      </c>
      <c r="AY27" s="95">
        <f t="shared" ref="AY27:AZ27" si="128">AY3+SUM(AY20:AY26)</f>
        <v>423707.42147432908</v>
      </c>
      <c r="AZ27" s="95">
        <f t="shared" si="128"/>
        <v>403247.96675991954</v>
      </c>
      <c r="BA27" s="95">
        <f t="shared" ref="BA27" si="129">BA3+SUM(BA20:BA26)</f>
        <v>387319.7681592374</v>
      </c>
      <c r="BB27" s="95">
        <f t="shared" ref="BB27" si="130">BB3+SUM(BB20:BB26)</f>
        <v>376314.72303126805</v>
      </c>
      <c r="BC27" s="95">
        <f t="shared" ref="BC27" si="131">BC3+SUM(BC20:BC26)</f>
        <v>370764.4302364543</v>
      </c>
      <c r="BD27" s="95">
        <f t="shared" ref="BD27" si="132">BD3+SUM(BD20:BD26)</f>
        <v>371202.47692563717</v>
      </c>
      <c r="BE27" s="95">
        <f t="shared" ref="BE27" si="133">BE3+SUM(BE20:BE26)</f>
        <v>380013.17060211679</v>
      </c>
      <c r="BF27" s="95">
        <f t="shared" ref="BF27" si="134">BF3+SUM(BF20:BF26)</f>
        <v>379184.88053854852</v>
      </c>
      <c r="BG27" s="95">
        <f t="shared" ref="BG27" si="135">BG3+SUM(BG20:BG26)</f>
        <v>396375.25237893406</v>
      </c>
      <c r="BH27" s="95">
        <f t="shared" ref="BH27" si="136">BH3+SUM(BH20:BH26)</f>
        <v>422416.03005790937</v>
      </c>
      <c r="BI27" s="95">
        <f t="shared" ref="BI27" si="137">BI3+SUM(BI20:BI26)</f>
        <v>458228.48834594706</v>
      </c>
      <c r="BJ27" s="95">
        <f t="shared" ref="BJ27" si="138">BJ3+SUM(BJ20:BJ26)</f>
        <v>504840.17321216542</v>
      </c>
    </row>
    <row r="28" spans="2:62" x14ac:dyDescent="0.2">
      <c r="C28" s="1"/>
    </row>
    <row r="29" spans="2:62" s="27" customFormat="1" x14ac:dyDescent="0.2">
      <c r="B29" s="66" t="s">
        <v>150</v>
      </c>
      <c r="C29" s="67">
        <f>IF(C20&lt;0,-C27/C20,"")</f>
        <v>29.670464398139668</v>
      </c>
      <c r="D29" s="67">
        <f t="shared" ref="D29:BJ29" si="139">IF(D20&lt;0,-D27/D20,"")</f>
        <v>23.787345916994056</v>
      </c>
      <c r="E29" s="67">
        <f t="shared" si="139"/>
        <v>19.728939150327633</v>
      </c>
      <c r="F29" s="67">
        <f t="shared" si="139"/>
        <v>9.9472037988034003</v>
      </c>
      <c r="G29" s="67">
        <f t="shared" si="139"/>
        <v>6.7972478240411931</v>
      </c>
      <c r="H29" s="67">
        <f t="shared" si="139"/>
        <v>8.0301615373945374</v>
      </c>
      <c r="I29" s="67">
        <f t="shared" si="139"/>
        <v>6.6869241324914102</v>
      </c>
      <c r="J29" s="67">
        <f t="shared" si="139"/>
        <v>5.8197092153577294</v>
      </c>
      <c r="K29" s="67">
        <f t="shared" si="139"/>
        <v>4.9360043481891402</v>
      </c>
      <c r="L29" s="67">
        <f t="shared" si="139"/>
        <v>4.0373863481534986</v>
      </c>
      <c r="M29" s="67">
        <f t="shared" si="139"/>
        <v>3.1200990129462656</v>
      </c>
      <c r="N29" s="67">
        <f t="shared" si="139"/>
        <v>2.1849801112329321</v>
      </c>
      <c r="O29" s="67">
        <f t="shared" si="139"/>
        <v>33.922532077204465</v>
      </c>
      <c r="P29" s="67">
        <f t="shared" si="139"/>
        <v>27.220646731485228</v>
      </c>
      <c r="Q29" s="67">
        <f t="shared" si="139"/>
        <v>30.124582671334089</v>
      </c>
      <c r="R29" s="67">
        <f t="shared" si="139"/>
        <v>29.693115137267757</v>
      </c>
      <c r="S29" s="67">
        <f t="shared" si="139"/>
        <v>29.258876139437564</v>
      </c>
      <c r="T29" s="67">
        <f t="shared" si="139"/>
        <v>28.818147396097142</v>
      </c>
      <c r="U29" s="67">
        <f t="shared" si="139"/>
        <v>28.374557749647987</v>
      </c>
      <c r="V29" s="67">
        <f t="shared" si="139"/>
        <v>27.934070682043398</v>
      </c>
      <c r="W29" s="67">
        <f t="shared" si="139"/>
        <v>27.503861622720066</v>
      </c>
      <c r="X29" s="67">
        <f t="shared" si="139"/>
        <v>27.889338503325479</v>
      </c>
      <c r="Y29" s="67">
        <f t="shared" si="139"/>
        <v>21.662138944911458</v>
      </c>
      <c r="Z29" s="67">
        <f t="shared" si="139"/>
        <v>24.015936658884002</v>
      </c>
      <c r="AA29" s="67">
        <f t="shared" si="139"/>
        <v>23.428969059534424</v>
      </c>
      <c r="AB29" s="67">
        <f t="shared" si="139"/>
        <v>22.829808797274556</v>
      </c>
      <c r="AC29" s="67">
        <f t="shared" si="139"/>
        <v>22.236459666658842</v>
      </c>
      <c r="AD29" s="67">
        <f t="shared" si="139"/>
        <v>21.644067270386895</v>
      </c>
      <c r="AE29" s="67">
        <f t="shared" si="139"/>
        <v>21.050174391834457</v>
      </c>
      <c r="AF29" s="67">
        <f t="shared" si="139"/>
        <v>20.462738909418366</v>
      </c>
      <c r="AG29" s="67">
        <f t="shared" si="139"/>
        <v>19.87310280423662</v>
      </c>
      <c r="AH29" s="67">
        <f t="shared" si="139"/>
        <v>19.296515812596549</v>
      </c>
      <c r="AI29" s="67">
        <f t="shared" si="139"/>
        <v>18.722376111260424</v>
      </c>
      <c r="AJ29" s="67">
        <f t="shared" si="139"/>
        <v>18.163072212401449</v>
      </c>
      <c r="AK29" s="67">
        <f t="shared" si="139"/>
        <v>17.623224904439354</v>
      </c>
      <c r="AL29" s="67">
        <f t="shared" si="139"/>
        <v>17.090902964034669</v>
      </c>
      <c r="AM29" s="67">
        <f t="shared" si="139"/>
        <v>16.586997664318414</v>
      </c>
      <c r="AN29" s="67">
        <f t="shared" si="139"/>
        <v>16.115333572004655</v>
      </c>
      <c r="AO29" s="67">
        <f t="shared" si="139"/>
        <v>15.667790531765284</v>
      </c>
      <c r="AP29" s="67">
        <f t="shared" si="139"/>
        <v>15.265635642807988</v>
      </c>
      <c r="AQ29" s="67">
        <f t="shared" si="139"/>
        <v>14.914919248841219</v>
      </c>
      <c r="AR29" s="67">
        <f t="shared" si="139"/>
        <v>14.619965461863497</v>
      </c>
      <c r="AS29" s="67">
        <f t="shared" si="139"/>
        <v>14.414149678455752</v>
      </c>
      <c r="AT29" s="67">
        <f t="shared" si="139"/>
        <v>14.294861148667236</v>
      </c>
      <c r="AU29" s="67">
        <f t="shared" si="139"/>
        <v>14.320428972647884</v>
      </c>
      <c r="AV29" s="67">
        <f t="shared" si="139"/>
        <v>14.509547879980225</v>
      </c>
      <c r="AW29" s="67">
        <f t="shared" si="139"/>
        <v>14.963361558845383</v>
      </c>
      <c r="AX29" s="67">
        <f t="shared" si="139"/>
        <v>15.797303705492988</v>
      </c>
      <c r="AY29" s="67">
        <f t="shared" si="139"/>
        <v>17.222380853238214</v>
      </c>
      <c r="AZ29" s="67">
        <f t="shared" si="139"/>
        <v>19.709614571297077</v>
      </c>
      <c r="BA29" s="67">
        <f t="shared" si="139"/>
        <v>24.316608416889661</v>
      </c>
      <c r="BB29" s="67">
        <f t="shared" si="139"/>
        <v>34.194746014704037</v>
      </c>
      <c r="BC29" s="67">
        <f t="shared" si="139"/>
        <v>66.80087770917244</v>
      </c>
      <c r="BD29" s="67" t="str">
        <f t="shared" si="139"/>
        <v/>
      </c>
      <c r="BE29" s="67" t="str">
        <f t="shared" si="139"/>
        <v/>
      </c>
      <c r="BF29" s="67">
        <f t="shared" si="139"/>
        <v>457.79238121609188</v>
      </c>
      <c r="BG29" s="67" t="str">
        <f t="shared" si="139"/>
        <v/>
      </c>
      <c r="BH29" s="67" t="str">
        <f t="shared" si="139"/>
        <v/>
      </c>
      <c r="BI29" s="67" t="str">
        <f t="shared" si="139"/>
        <v/>
      </c>
      <c r="BJ29" s="67" t="str">
        <f t="shared" si="139"/>
        <v/>
      </c>
    </row>
    <row r="30" spans="2:62" x14ac:dyDescent="0.2">
      <c r="C30" s="1"/>
    </row>
    <row r="31" spans="2:62" x14ac:dyDescent="0.2">
      <c r="C31" s="1"/>
    </row>
    <row r="32" spans="2:62" x14ac:dyDescent="0.2">
      <c r="C32" s="1"/>
    </row>
  </sheetData>
  <pageMargins left="0.75" right="0.75" top="1" bottom="1" header="0.5" footer="0.5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K1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6" sqref="G16"/>
    </sheetView>
    <sheetView zoomScale="220" zoomScaleNormal="220" zoomScalePageLayoutView="160" workbookViewId="1">
      <pane xSplit="2" ySplit="2" topLeftCell="C3" activePane="bottomRight" state="frozen"/>
      <selection activeCell="C56" sqref="C56"/>
      <selection pane="topRight" activeCell="C56" sqref="C56"/>
      <selection pane="bottomLeft" activeCell="C56" sqref="C56"/>
      <selection pane="bottomRight" activeCell="C56" sqref="C56"/>
    </sheetView>
  </sheetViews>
  <sheetFormatPr baseColWidth="10" defaultRowHeight="16" x14ac:dyDescent="0.2"/>
  <cols>
    <col min="1" max="1" width="3.5" style="1" customWidth="1"/>
    <col min="2" max="2" width="23.83203125" style="1" bestFit="1" customWidth="1"/>
    <col min="3" max="16384" width="10.83203125" style="1"/>
  </cols>
  <sheetData>
    <row r="1" spans="1:63" x14ac:dyDescent="0.2">
      <c r="A1" s="1" t="s">
        <v>3</v>
      </c>
      <c r="C1" s="1" t="s">
        <v>0</v>
      </c>
    </row>
    <row r="2" spans="1:63" s="2" customFormat="1" x14ac:dyDescent="0.2">
      <c r="C2" s="74">
        <f>'Monthly Income Statement'!C2</f>
        <v>43480</v>
      </c>
      <c r="D2" s="74">
        <f>'Monthly Income Statement'!D2</f>
        <v>43510</v>
      </c>
      <c r="E2" s="74">
        <f>'Monthly Income Statement'!E2</f>
        <v>43540</v>
      </c>
      <c r="F2" s="74">
        <f>'Monthly Income Statement'!F2</f>
        <v>43570</v>
      </c>
      <c r="G2" s="74">
        <f>'Monthly Income Statement'!G2</f>
        <v>43600</v>
      </c>
      <c r="H2" s="74">
        <f>'Monthly Income Statement'!H2</f>
        <v>43630</v>
      </c>
      <c r="I2" s="74">
        <f>'Monthly Income Statement'!I2</f>
        <v>43660</v>
      </c>
      <c r="J2" s="74">
        <f>'Monthly Income Statement'!J2</f>
        <v>43690</v>
      </c>
      <c r="K2" s="74">
        <f>'Monthly Income Statement'!K2</f>
        <v>43720</v>
      </c>
      <c r="L2" s="74">
        <f>'Monthly Income Statement'!L2</f>
        <v>43750</v>
      </c>
      <c r="M2" s="74">
        <f>'Monthly Income Statement'!M2</f>
        <v>43780</v>
      </c>
      <c r="N2" s="74">
        <f>'Monthly Income Statement'!N2</f>
        <v>43810</v>
      </c>
      <c r="O2" s="74">
        <f>'Monthly Income Statement'!O2</f>
        <v>43840</v>
      </c>
      <c r="P2" s="74">
        <f>'Monthly Income Statement'!P2</f>
        <v>43870</v>
      </c>
      <c r="Q2" s="74">
        <f>'Monthly Income Statement'!Q2</f>
        <v>43900</v>
      </c>
      <c r="R2" s="74">
        <f>'Monthly Income Statement'!R2</f>
        <v>43930</v>
      </c>
      <c r="S2" s="74">
        <f>'Monthly Income Statement'!S2</f>
        <v>43960</v>
      </c>
      <c r="T2" s="74">
        <f>'Monthly Income Statement'!T2</f>
        <v>43990</v>
      </c>
      <c r="U2" s="74">
        <f>'Monthly Income Statement'!U2</f>
        <v>44020</v>
      </c>
      <c r="V2" s="74">
        <f>'Monthly Income Statement'!V2</f>
        <v>44050</v>
      </c>
      <c r="W2" s="74">
        <f>'Monthly Income Statement'!W2</f>
        <v>44080</v>
      </c>
      <c r="X2" s="74">
        <f>'Monthly Income Statement'!X2</f>
        <v>44110</v>
      </c>
      <c r="Y2" s="74">
        <f>'Monthly Income Statement'!Y2</f>
        <v>44140</v>
      </c>
      <c r="Z2" s="74">
        <f>'Monthly Income Statement'!Z2</f>
        <v>44170</v>
      </c>
      <c r="AA2" s="74">
        <f>'Monthly Income Statement'!AA2</f>
        <v>43845</v>
      </c>
      <c r="AB2" s="74">
        <f>'Monthly Income Statement'!AB2</f>
        <v>43875</v>
      </c>
      <c r="AC2" s="74">
        <f>'Monthly Income Statement'!AC2</f>
        <v>43905</v>
      </c>
      <c r="AD2" s="74">
        <f>'Monthly Income Statement'!AD2</f>
        <v>43935</v>
      </c>
      <c r="AE2" s="74">
        <f>'Monthly Income Statement'!AE2</f>
        <v>43965</v>
      </c>
      <c r="AF2" s="74">
        <f>'Monthly Income Statement'!AF2</f>
        <v>43995</v>
      </c>
      <c r="AG2" s="74">
        <f>'Monthly Income Statement'!AG2</f>
        <v>44025</v>
      </c>
      <c r="AH2" s="74">
        <f>'Monthly Income Statement'!AH2</f>
        <v>44055</v>
      </c>
      <c r="AI2" s="74">
        <f>'Monthly Income Statement'!AI2</f>
        <v>44085</v>
      </c>
      <c r="AJ2" s="74">
        <f>'Monthly Income Statement'!AJ2</f>
        <v>44115</v>
      </c>
      <c r="AK2" s="74">
        <f>'Monthly Income Statement'!AK2</f>
        <v>44145</v>
      </c>
      <c r="AL2" s="74">
        <f>'Monthly Income Statement'!AL2</f>
        <v>44175</v>
      </c>
      <c r="AM2" s="74">
        <f>'Monthly Income Statement'!AM2</f>
        <v>44205</v>
      </c>
      <c r="AN2" s="74">
        <f>'Monthly Income Statement'!AN2</f>
        <v>44235</v>
      </c>
      <c r="AO2" s="74">
        <f>'Monthly Income Statement'!AO2</f>
        <v>44265</v>
      </c>
      <c r="AP2" s="74">
        <f>'Monthly Income Statement'!AP2</f>
        <v>44295</v>
      </c>
      <c r="AQ2" s="74">
        <f>'Monthly Income Statement'!AQ2</f>
        <v>44325</v>
      </c>
      <c r="AR2" s="74">
        <f>'Monthly Income Statement'!AR2</f>
        <v>44355</v>
      </c>
      <c r="AS2" s="74">
        <f>'Monthly Income Statement'!AS2</f>
        <v>44385</v>
      </c>
      <c r="AT2" s="74">
        <f>'Monthly Income Statement'!AT2</f>
        <v>44415</v>
      </c>
      <c r="AU2" s="74">
        <f>'Monthly Income Statement'!AU2</f>
        <v>44445</v>
      </c>
      <c r="AV2" s="74">
        <f>'Monthly Income Statement'!AV2</f>
        <v>44475</v>
      </c>
      <c r="AW2" s="74">
        <f>'Monthly Income Statement'!AW2</f>
        <v>44505</v>
      </c>
      <c r="AX2" s="74">
        <f>'Monthly Income Statement'!AX2</f>
        <v>44535</v>
      </c>
      <c r="AY2" s="74">
        <f>'Monthly Income Statement'!AY2</f>
        <v>44576</v>
      </c>
      <c r="AZ2" s="74">
        <f>'Monthly Income Statement'!AZ2</f>
        <v>44606</v>
      </c>
      <c r="BA2" s="74">
        <f>'Monthly Income Statement'!BA2</f>
        <v>44636</v>
      </c>
      <c r="BB2" s="74">
        <f>'Monthly Income Statement'!BB2</f>
        <v>44666</v>
      </c>
      <c r="BC2" s="74">
        <f>'Monthly Income Statement'!BC2</f>
        <v>44696</v>
      </c>
      <c r="BD2" s="74">
        <f>'Monthly Income Statement'!BD2</f>
        <v>44726</v>
      </c>
      <c r="BE2" s="74">
        <f>'Monthly Income Statement'!BE2</f>
        <v>44756</v>
      </c>
      <c r="BF2" s="74">
        <f>'Monthly Income Statement'!BF2</f>
        <v>44786</v>
      </c>
      <c r="BG2" s="74">
        <f>'Monthly Income Statement'!BG2</f>
        <v>44816</v>
      </c>
      <c r="BH2" s="74">
        <f>'Monthly Income Statement'!BH2</f>
        <v>44846</v>
      </c>
      <c r="BI2" s="74">
        <f>'Monthly Income Statement'!BI2</f>
        <v>44876</v>
      </c>
      <c r="BJ2" s="74">
        <f>'Monthly Income Statement'!BJ2</f>
        <v>44906</v>
      </c>
    </row>
    <row r="3" spans="1:63" s="3" customFormat="1" x14ac:dyDescent="0.2">
      <c r="B3" s="3" t="s">
        <v>4</v>
      </c>
      <c r="C3" s="77">
        <v>200</v>
      </c>
      <c r="D3" s="77">
        <v>250</v>
      </c>
      <c r="E3" s="77">
        <v>376</v>
      </c>
      <c r="F3" s="77">
        <v>457</v>
      </c>
      <c r="G3" s="77">
        <v>9923</v>
      </c>
      <c r="H3" s="4">
        <f t="shared" ref="H3:AL3" si="0">SteadyStateMonthlySEMSpend</f>
        <v>10000</v>
      </c>
      <c r="I3" s="4">
        <f t="shared" si="0"/>
        <v>10000</v>
      </c>
      <c r="J3" s="4">
        <f t="shared" si="0"/>
        <v>10000</v>
      </c>
      <c r="K3" s="4">
        <f t="shared" si="0"/>
        <v>10000</v>
      </c>
      <c r="L3" s="4">
        <f t="shared" si="0"/>
        <v>10000</v>
      </c>
      <c r="M3" s="4">
        <f t="shared" si="0"/>
        <v>10000</v>
      </c>
      <c r="N3" s="4">
        <f t="shared" si="0"/>
        <v>10000</v>
      </c>
      <c r="O3" s="4">
        <f t="shared" si="0"/>
        <v>10000</v>
      </c>
      <c r="P3" s="4">
        <f t="shared" si="0"/>
        <v>10000</v>
      </c>
      <c r="Q3" s="4">
        <f t="shared" si="0"/>
        <v>10000</v>
      </c>
      <c r="R3" s="4">
        <f t="shared" si="0"/>
        <v>10000</v>
      </c>
      <c r="S3" s="4">
        <f t="shared" si="0"/>
        <v>10000</v>
      </c>
      <c r="T3" s="4">
        <f t="shared" si="0"/>
        <v>10000</v>
      </c>
      <c r="U3" s="4">
        <f t="shared" si="0"/>
        <v>10000</v>
      </c>
      <c r="V3" s="4">
        <f t="shared" si="0"/>
        <v>10000</v>
      </c>
      <c r="W3" s="4">
        <f t="shared" si="0"/>
        <v>10000</v>
      </c>
      <c r="X3" s="4">
        <f t="shared" si="0"/>
        <v>10000</v>
      </c>
      <c r="Y3" s="4">
        <f t="shared" si="0"/>
        <v>10000</v>
      </c>
      <c r="Z3" s="4">
        <f t="shared" si="0"/>
        <v>10000</v>
      </c>
      <c r="AA3" s="4">
        <f t="shared" si="0"/>
        <v>10000</v>
      </c>
      <c r="AB3" s="4">
        <f t="shared" si="0"/>
        <v>10000</v>
      </c>
      <c r="AC3" s="4">
        <f t="shared" si="0"/>
        <v>10000</v>
      </c>
      <c r="AD3" s="4">
        <f t="shared" si="0"/>
        <v>10000</v>
      </c>
      <c r="AE3" s="4">
        <f t="shared" si="0"/>
        <v>10000</v>
      </c>
      <c r="AF3" s="4">
        <f t="shared" si="0"/>
        <v>10000</v>
      </c>
      <c r="AG3" s="4">
        <f t="shared" si="0"/>
        <v>10000</v>
      </c>
      <c r="AH3" s="4">
        <f t="shared" si="0"/>
        <v>10000</v>
      </c>
      <c r="AI3" s="4">
        <f t="shared" si="0"/>
        <v>10000</v>
      </c>
      <c r="AJ3" s="4">
        <f t="shared" si="0"/>
        <v>10000</v>
      </c>
      <c r="AK3" s="4">
        <f t="shared" si="0"/>
        <v>10000</v>
      </c>
      <c r="AL3" s="4">
        <f t="shared" si="0"/>
        <v>10000</v>
      </c>
      <c r="AM3" s="4">
        <f t="shared" ref="AM3:BJ3" si="1">SteadyStateMonthlySEMSpend</f>
        <v>10000</v>
      </c>
      <c r="AN3" s="4">
        <f t="shared" si="1"/>
        <v>10000</v>
      </c>
      <c r="AO3" s="4">
        <f t="shared" si="1"/>
        <v>10000</v>
      </c>
      <c r="AP3" s="4">
        <f t="shared" si="1"/>
        <v>10000</v>
      </c>
      <c r="AQ3" s="4">
        <f t="shared" si="1"/>
        <v>10000</v>
      </c>
      <c r="AR3" s="4">
        <f t="shared" si="1"/>
        <v>10000</v>
      </c>
      <c r="AS3" s="4">
        <f t="shared" si="1"/>
        <v>10000</v>
      </c>
      <c r="AT3" s="4">
        <f t="shared" si="1"/>
        <v>10000</v>
      </c>
      <c r="AU3" s="4">
        <f t="shared" si="1"/>
        <v>10000</v>
      </c>
      <c r="AV3" s="4">
        <f t="shared" si="1"/>
        <v>10000</v>
      </c>
      <c r="AW3" s="4">
        <f t="shared" si="1"/>
        <v>10000</v>
      </c>
      <c r="AX3" s="4">
        <f t="shared" si="1"/>
        <v>10000</v>
      </c>
      <c r="AY3" s="4">
        <f t="shared" si="1"/>
        <v>10000</v>
      </c>
      <c r="AZ3" s="4">
        <f t="shared" si="1"/>
        <v>10000</v>
      </c>
      <c r="BA3" s="4">
        <f t="shared" si="1"/>
        <v>10000</v>
      </c>
      <c r="BB3" s="4">
        <f t="shared" si="1"/>
        <v>10000</v>
      </c>
      <c r="BC3" s="4">
        <f t="shared" si="1"/>
        <v>10000</v>
      </c>
      <c r="BD3" s="4">
        <f t="shared" si="1"/>
        <v>10000</v>
      </c>
      <c r="BE3" s="4">
        <f t="shared" si="1"/>
        <v>10000</v>
      </c>
      <c r="BF3" s="4">
        <f t="shared" si="1"/>
        <v>10000</v>
      </c>
      <c r="BG3" s="4">
        <f t="shared" si="1"/>
        <v>10000</v>
      </c>
      <c r="BH3" s="4">
        <f t="shared" si="1"/>
        <v>10000</v>
      </c>
      <c r="BI3" s="4">
        <f t="shared" si="1"/>
        <v>10000</v>
      </c>
      <c r="BJ3" s="4">
        <f t="shared" si="1"/>
        <v>10000</v>
      </c>
    </row>
    <row r="4" spans="1:63" x14ac:dyDescent="0.2">
      <c r="B4" s="1" t="s">
        <v>161</v>
      </c>
      <c r="C4" s="78">
        <v>85</v>
      </c>
      <c r="D4" s="78">
        <v>103</v>
      </c>
      <c r="E4" s="78">
        <v>165</v>
      </c>
      <c r="F4" s="78">
        <v>201</v>
      </c>
      <c r="G4" s="78">
        <v>4427</v>
      </c>
      <c r="H4" s="1">
        <f t="shared" ref="H4:AH4" si="2">H3/AverageCPCGoogle</f>
        <v>4444.4444444444443</v>
      </c>
      <c r="I4" s="1">
        <f t="shared" si="2"/>
        <v>4444.4444444444443</v>
      </c>
      <c r="J4" s="1">
        <f t="shared" si="2"/>
        <v>4444.4444444444443</v>
      </c>
      <c r="K4" s="1">
        <f t="shared" si="2"/>
        <v>4444.4444444444443</v>
      </c>
      <c r="L4" s="1">
        <f t="shared" si="2"/>
        <v>4444.4444444444443</v>
      </c>
      <c r="M4" s="1">
        <f t="shared" si="2"/>
        <v>4444.4444444444443</v>
      </c>
      <c r="N4" s="1">
        <f t="shared" si="2"/>
        <v>4444.4444444444443</v>
      </c>
      <c r="O4" s="1">
        <f t="shared" si="2"/>
        <v>4444.4444444444443</v>
      </c>
      <c r="P4" s="1">
        <f t="shared" si="2"/>
        <v>4444.4444444444443</v>
      </c>
      <c r="Q4" s="1">
        <f t="shared" si="2"/>
        <v>4444.4444444444443</v>
      </c>
      <c r="R4" s="1">
        <f t="shared" si="2"/>
        <v>4444.4444444444443</v>
      </c>
      <c r="S4" s="1">
        <f t="shared" si="2"/>
        <v>4444.4444444444443</v>
      </c>
      <c r="T4" s="1">
        <f t="shared" si="2"/>
        <v>4444.4444444444443</v>
      </c>
      <c r="U4" s="1">
        <f t="shared" si="2"/>
        <v>4444.4444444444443</v>
      </c>
      <c r="V4" s="1">
        <f t="shared" si="2"/>
        <v>4444.4444444444443</v>
      </c>
      <c r="W4" s="1">
        <f t="shared" si="2"/>
        <v>4444.4444444444443</v>
      </c>
      <c r="X4" s="1">
        <f t="shared" si="2"/>
        <v>4444.4444444444443</v>
      </c>
      <c r="Y4" s="1">
        <f t="shared" si="2"/>
        <v>4444.4444444444443</v>
      </c>
      <c r="Z4" s="1">
        <f t="shared" si="2"/>
        <v>4444.4444444444443</v>
      </c>
      <c r="AA4" s="1">
        <f t="shared" si="2"/>
        <v>4444.4444444444443</v>
      </c>
      <c r="AB4" s="1">
        <f t="shared" si="2"/>
        <v>4444.4444444444443</v>
      </c>
      <c r="AC4" s="1">
        <f t="shared" si="2"/>
        <v>4444.4444444444443</v>
      </c>
      <c r="AD4" s="1">
        <f t="shared" si="2"/>
        <v>4444.4444444444443</v>
      </c>
      <c r="AE4" s="1">
        <f t="shared" si="2"/>
        <v>4444.4444444444443</v>
      </c>
      <c r="AF4" s="1">
        <f t="shared" si="2"/>
        <v>4444.4444444444443</v>
      </c>
      <c r="AG4" s="1">
        <f t="shared" si="2"/>
        <v>4444.4444444444443</v>
      </c>
      <c r="AH4" s="1">
        <f t="shared" si="2"/>
        <v>4444.4444444444443</v>
      </c>
      <c r="AI4" s="1">
        <f t="shared" ref="AI4:BJ4" si="3">AI3/AverageCPCGoogle</f>
        <v>4444.4444444444443</v>
      </c>
      <c r="AJ4" s="1">
        <f t="shared" si="3"/>
        <v>4444.4444444444443</v>
      </c>
      <c r="AK4" s="1">
        <f t="shared" si="3"/>
        <v>4444.4444444444443</v>
      </c>
      <c r="AL4" s="1">
        <f t="shared" si="3"/>
        <v>4444.4444444444443</v>
      </c>
      <c r="AM4" s="1">
        <f t="shared" si="3"/>
        <v>4444.4444444444443</v>
      </c>
      <c r="AN4" s="1">
        <f t="shared" si="3"/>
        <v>4444.4444444444443</v>
      </c>
      <c r="AO4" s="1">
        <f t="shared" si="3"/>
        <v>4444.4444444444443</v>
      </c>
      <c r="AP4" s="1">
        <f t="shared" si="3"/>
        <v>4444.4444444444443</v>
      </c>
      <c r="AQ4" s="1">
        <f t="shared" si="3"/>
        <v>4444.4444444444443</v>
      </c>
      <c r="AR4" s="1">
        <f t="shared" si="3"/>
        <v>4444.4444444444443</v>
      </c>
      <c r="AS4" s="1">
        <f t="shared" si="3"/>
        <v>4444.4444444444443</v>
      </c>
      <c r="AT4" s="1">
        <f t="shared" si="3"/>
        <v>4444.4444444444443</v>
      </c>
      <c r="AU4" s="1">
        <f t="shared" si="3"/>
        <v>4444.4444444444443</v>
      </c>
      <c r="AV4" s="1">
        <f t="shared" si="3"/>
        <v>4444.4444444444443</v>
      </c>
      <c r="AW4" s="1">
        <f t="shared" si="3"/>
        <v>4444.4444444444443</v>
      </c>
      <c r="AX4" s="1">
        <f t="shared" si="3"/>
        <v>4444.4444444444443</v>
      </c>
      <c r="AY4" s="1">
        <f t="shared" si="3"/>
        <v>4444.4444444444443</v>
      </c>
      <c r="AZ4" s="1">
        <f t="shared" si="3"/>
        <v>4444.4444444444443</v>
      </c>
      <c r="BA4" s="1">
        <f t="shared" si="3"/>
        <v>4444.4444444444443</v>
      </c>
      <c r="BB4" s="1">
        <f t="shared" si="3"/>
        <v>4444.4444444444443</v>
      </c>
      <c r="BC4" s="1">
        <f t="shared" si="3"/>
        <v>4444.4444444444443</v>
      </c>
      <c r="BD4" s="1">
        <f t="shared" si="3"/>
        <v>4444.4444444444443</v>
      </c>
      <c r="BE4" s="1">
        <f t="shared" si="3"/>
        <v>4444.4444444444443</v>
      </c>
      <c r="BF4" s="1">
        <f t="shared" si="3"/>
        <v>4444.4444444444443</v>
      </c>
      <c r="BG4" s="1">
        <f t="shared" si="3"/>
        <v>4444.4444444444443</v>
      </c>
      <c r="BH4" s="1">
        <f t="shared" si="3"/>
        <v>4444.4444444444443</v>
      </c>
      <c r="BI4" s="1">
        <f t="shared" si="3"/>
        <v>4444.4444444444443</v>
      </c>
      <c r="BJ4" s="1">
        <f t="shared" si="3"/>
        <v>4444.4444444444443</v>
      </c>
    </row>
    <row r="5" spans="1:63" customFormat="1" x14ac:dyDescent="0.2">
      <c r="A5" s="1"/>
      <c r="C5" s="79"/>
      <c r="D5" s="79"/>
      <c r="E5" s="79"/>
      <c r="F5" s="79"/>
      <c r="G5" s="79"/>
    </row>
    <row r="6" spans="1:63" s="3" customFormat="1" x14ac:dyDescent="0.2">
      <c r="B6" s="3" t="s">
        <v>6</v>
      </c>
      <c r="C6" s="77">
        <v>200</v>
      </c>
      <c r="D6" s="80">
        <v>250</v>
      </c>
      <c r="E6" s="80">
        <v>434</v>
      </c>
      <c r="F6" s="80">
        <v>452</v>
      </c>
      <c r="G6" s="77">
        <v>10163</v>
      </c>
      <c r="H6" s="4">
        <f t="shared" ref="H6:AL6" si="4">SteadyStateMonthlyFBSpend</f>
        <v>10000</v>
      </c>
      <c r="I6" s="4">
        <f t="shared" si="4"/>
        <v>10000</v>
      </c>
      <c r="J6" s="4">
        <f t="shared" si="4"/>
        <v>10000</v>
      </c>
      <c r="K6" s="4">
        <f t="shared" si="4"/>
        <v>10000</v>
      </c>
      <c r="L6" s="4">
        <f t="shared" si="4"/>
        <v>10000</v>
      </c>
      <c r="M6" s="4">
        <f t="shared" si="4"/>
        <v>10000</v>
      </c>
      <c r="N6" s="4">
        <f t="shared" si="4"/>
        <v>10000</v>
      </c>
      <c r="O6" s="4">
        <f t="shared" si="4"/>
        <v>10000</v>
      </c>
      <c r="P6" s="4">
        <f t="shared" si="4"/>
        <v>10000</v>
      </c>
      <c r="Q6" s="4">
        <f t="shared" si="4"/>
        <v>10000</v>
      </c>
      <c r="R6" s="4">
        <f t="shared" si="4"/>
        <v>10000</v>
      </c>
      <c r="S6" s="4">
        <f t="shared" si="4"/>
        <v>10000</v>
      </c>
      <c r="T6" s="4">
        <f t="shared" si="4"/>
        <v>10000</v>
      </c>
      <c r="U6" s="4">
        <f t="shared" si="4"/>
        <v>10000</v>
      </c>
      <c r="V6" s="4">
        <f t="shared" si="4"/>
        <v>10000</v>
      </c>
      <c r="W6" s="4">
        <f t="shared" si="4"/>
        <v>10000</v>
      </c>
      <c r="X6" s="4">
        <f t="shared" si="4"/>
        <v>10000</v>
      </c>
      <c r="Y6" s="4">
        <f t="shared" si="4"/>
        <v>10000</v>
      </c>
      <c r="Z6" s="4">
        <f t="shared" si="4"/>
        <v>10000</v>
      </c>
      <c r="AA6" s="4">
        <f t="shared" si="4"/>
        <v>10000</v>
      </c>
      <c r="AB6" s="4">
        <f t="shared" si="4"/>
        <v>10000</v>
      </c>
      <c r="AC6" s="4">
        <f t="shared" si="4"/>
        <v>10000</v>
      </c>
      <c r="AD6" s="4">
        <f t="shared" si="4"/>
        <v>10000</v>
      </c>
      <c r="AE6" s="4">
        <f t="shared" si="4"/>
        <v>10000</v>
      </c>
      <c r="AF6" s="4">
        <f t="shared" si="4"/>
        <v>10000</v>
      </c>
      <c r="AG6" s="4">
        <f t="shared" si="4"/>
        <v>10000</v>
      </c>
      <c r="AH6" s="4">
        <f t="shared" si="4"/>
        <v>10000</v>
      </c>
      <c r="AI6" s="4">
        <f t="shared" si="4"/>
        <v>10000</v>
      </c>
      <c r="AJ6" s="4">
        <f t="shared" si="4"/>
        <v>10000</v>
      </c>
      <c r="AK6" s="4">
        <f t="shared" si="4"/>
        <v>10000</v>
      </c>
      <c r="AL6" s="4">
        <f t="shared" si="4"/>
        <v>10000</v>
      </c>
      <c r="AM6" s="4">
        <f t="shared" ref="AM6:BJ6" si="5">SteadyStateMonthlyFBSpend</f>
        <v>10000</v>
      </c>
      <c r="AN6" s="4">
        <f t="shared" si="5"/>
        <v>10000</v>
      </c>
      <c r="AO6" s="4">
        <f t="shared" si="5"/>
        <v>10000</v>
      </c>
      <c r="AP6" s="4">
        <f t="shared" si="5"/>
        <v>10000</v>
      </c>
      <c r="AQ6" s="4">
        <f t="shared" si="5"/>
        <v>10000</v>
      </c>
      <c r="AR6" s="4">
        <f t="shared" si="5"/>
        <v>10000</v>
      </c>
      <c r="AS6" s="4">
        <f t="shared" si="5"/>
        <v>10000</v>
      </c>
      <c r="AT6" s="4">
        <f t="shared" si="5"/>
        <v>10000</v>
      </c>
      <c r="AU6" s="4">
        <f t="shared" si="5"/>
        <v>10000</v>
      </c>
      <c r="AV6" s="4">
        <f t="shared" si="5"/>
        <v>10000</v>
      </c>
      <c r="AW6" s="4">
        <f t="shared" si="5"/>
        <v>10000</v>
      </c>
      <c r="AX6" s="4">
        <f t="shared" si="5"/>
        <v>10000</v>
      </c>
      <c r="AY6" s="4">
        <f t="shared" si="5"/>
        <v>10000</v>
      </c>
      <c r="AZ6" s="4">
        <f t="shared" si="5"/>
        <v>10000</v>
      </c>
      <c r="BA6" s="4">
        <f t="shared" si="5"/>
        <v>10000</v>
      </c>
      <c r="BB6" s="4">
        <f t="shared" si="5"/>
        <v>10000</v>
      </c>
      <c r="BC6" s="4">
        <f t="shared" si="5"/>
        <v>10000</v>
      </c>
      <c r="BD6" s="4">
        <f t="shared" si="5"/>
        <v>10000</v>
      </c>
      <c r="BE6" s="4">
        <f t="shared" si="5"/>
        <v>10000</v>
      </c>
      <c r="BF6" s="4">
        <f t="shared" si="5"/>
        <v>10000</v>
      </c>
      <c r="BG6" s="4">
        <f t="shared" si="5"/>
        <v>10000</v>
      </c>
      <c r="BH6" s="4">
        <f t="shared" si="5"/>
        <v>10000</v>
      </c>
      <c r="BI6" s="4">
        <f t="shared" si="5"/>
        <v>10000</v>
      </c>
      <c r="BJ6" s="4">
        <f t="shared" si="5"/>
        <v>10000</v>
      </c>
      <c r="BK6" s="4"/>
    </row>
    <row r="7" spans="1:63" customFormat="1" x14ac:dyDescent="0.2">
      <c r="A7" s="1"/>
      <c r="B7" t="s">
        <v>162</v>
      </c>
      <c r="C7" s="78">
        <v>105</v>
      </c>
      <c r="D7" s="78">
        <v>143</v>
      </c>
      <c r="E7" s="78">
        <v>226</v>
      </c>
      <c r="F7" s="78">
        <v>231</v>
      </c>
      <c r="G7" s="78">
        <v>5503</v>
      </c>
      <c r="H7" s="1">
        <f t="shared" ref="H7:AH7" si="6">H6/AverageCPConFACEBOOK</f>
        <v>5405.405405405405</v>
      </c>
      <c r="I7" s="1">
        <f t="shared" si="6"/>
        <v>5405.405405405405</v>
      </c>
      <c r="J7" s="1">
        <f t="shared" si="6"/>
        <v>5405.405405405405</v>
      </c>
      <c r="K7" s="1">
        <f t="shared" si="6"/>
        <v>5405.405405405405</v>
      </c>
      <c r="L7" s="1">
        <f t="shared" si="6"/>
        <v>5405.405405405405</v>
      </c>
      <c r="M7" s="1">
        <f t="shared" si="6"/>
        <v>5405.405405405405</v>
      </c>
      <c r="N7" s="1">
        <f t="shared" si="6"/>
        <v>5405.405405405405</v>
      </c>
      <c r="O7" s="1">
        <f t="shared" si="6"/>
        <v>5405.405405405405</v>
      </c>
      <c r="P7" s="1">
        <f t="shared" si="6"/>
        <v>5405.405405405405</v>
      </c>
      <c r="Q7" s="1">
        <f t="shared" si="6"/>
        <v>5405.405405405405</v>
      </c>
      <c r="R7" s="1">
        <f t="shared" si="6"/>
        <v>5405.405405405405</v>
      </c>
      <c r="S7" s="1">
        <f t="shared" si="6"/>
        <v>5405.405405405405</v>
      </c>
      <c r="T7" s="1">
        <f t="shared" si="6"/>
        <v>5405.405405405405</v>
      </c>
      <c r="U7" s="1">
        <f t="shared" si="6"/>
        <v>5405.405405405405</v>
      </c>
      <c r="V7" s="1">
        <f t="shared" si="6"/>
        <v>5405.405405405405</v>
      </c>
      <c r="W7" s="1">
        <f t="shared" si="6"/>
        <v>5405.405405405405</v>
      </c>
      <c r="X7" s="1">
        <f t="shared" si="6"/>
        <v>5405.405405405405</v>
      </c>
      <c r="Y7" s="1">
        <f t="shared" si="6"/>
        <v>5405.405405405405</v>
      </c>
      <c r="Z7" s="1">
        <f t="shared" si="6"/>
        <v>5405.405405405405</v>
      </c>
      <c r="AA7" s="1">
        <f t="shared" si="6"/>
        <v>5405.405405405405</v>
      </c>
      <c r="AB7" s="1">
        <f t="shared" si="6"/>
        <v>5405.405405405405</v>
      </c>
      <c r="AC7" s="1">
        <f t="shared" si="6"/>
        <v>5405.405405405405</v>
      </c>
      <c r="AD7" s="1">
        <f t="shared" si="6"/>
        <v>5405.405405405405</v>
      </c>
      <c r="AE7" s="1">
        <f t="shared" si="6"/>
        <v>5405.405405405405</v>
      </c>
      <c r="AF7" s="1">
        <f t="shared" si="6"/>
        <v>5405.405405405405</v>
      </c>
      <c r="AG7" s="1">
        <f t="shared" si="6"/>
        <v>5405.405405405405</v>
      </c>
      <c r="AH7" s="1">
        <f t="shared" si="6"/>
        <v>5405.405405405405</v>
      </c>
      <c r="AI7" s="1">
        <f t="shared" ref="AI7:BJ7" si="7">AI6/AverageCPConFACEBOOK</f>
        <v>5405.405405405405</v>
      </c>
      <c r="AJ7" s="1">
        <f t="shared" si="7"/>
        <v>5405.405405405405</v>
      </c>
      <c r="AK7" s="1">
        <f t="shared" si="7"/>
        <v>5405.405405405405</v>
      </c>
      <c r="AL7" s="1">
        <f t="shared" si="7"/>
        <v>5405.405405405405</v>
      </c>
      <c r="AM7" s="1">
        <f t="shared" si="7"/>
        <v>5405.405405405405</v>
      </c>
      <c r="AN7" s="1">
        <f t="shared" si="7"/>
        <v>5405.405405405405</v>
      </c>
      <c r="AO7" s="1">
        <f t="shared" si="7"/>
        <v>5405.405405405405</v>
      </c>
      <c r="AP7" s="1">
        <f t="shared" si="7"/>
        <v>5405.405405405405</v>
      </c>
      <c r="AQ7" s="1">
        <f t="shared" si="7"/>
        <v>5405.405405405405</v>
      </c>
      <c r="AR7" s="1">
        <f t="shared" si="7"/>
        <v>5405.405405405405</v>
      </c>
      <c r="AS7" s="1">
        <f t="shared" si="7"/>
        <v>5405.405405405405</v>
      </c>
      <c r="AT7" s="1">
        <f t="shared" si="7"/>
        <v>5405.405405405405</v>
      </c>
      <c r="AU7" s="1">
        <f t="shared" si="7"/>
        <v>5405.405405405405</v>
      </c>
      <c r="AV7" s="1">
        <f t="shared" si="7"/>
        <v>5405.405405405405</v>
      </c>
      <c r="AW7" s="1">
        <f t="shared" si="7"/>
        <v>5405.405405405405</v>
      </c>
      <c r="AX7" s="1">
        <f t="shared" si="7"/>
        <v>5405.405405405405</v>
      </c>
      <c r="AY7" s="1">
        <f t="shared" si="7"/>
        <v>5405.405405405405</v>
      </c>
      <c r="AZ7" s="1">
        <f t="shared" si="7"/>
        <v>5405.405405405405</v>
      </c>
      <c r="BA7" s="1">
        <f t="shared" si="7"/>
        <v>5405.405405405405</v>
      </c>
      <c r="BB7" s="1">
        <f t="shared" si="7"/>
        <v>5405.405405405405</v>
      </c>
      <c r="BC7" s="1">
        <f t="shared" si="7"/>
        <v>5405.405405405405</v>
      </c>
      <c r="BD7" s="1">
        <f t="shared" si="7"/>
        <v>5405.405405405405</v>
      </c>
      <c r="BE7" s="1">
        <f t="shared" si="7"/>
        <v>5405.405405405405</v>
      </c>
      <c r="BF7" s="1">
        <f t="shared" si="7"/>
        <v>5405.405405405405</v>
      </c>
      <c r="BG7" s="1">
        <f t="shared" si="7"/>
        <v>5405.405405405405</v>
      </c>
      <c r="BH7" s="1">
        <f t="shared" si="7"/>
        <v>5405.405405405405</v>
      </c>
      <c r="BI7" s="1">
        <f t="shared" si="7"/>
        <v>5405.405405405405</v>
      </c>
      <c r="BJ7" s="1">
        <f t="shared" si="7"/>
        <v>5405.405405405405</v>
      </c>
    </row>
    <row r="8" spans="1:63" customFormat="1" x14ac:dyDescent="0.2">
      <c r="A8" s="1"/>
      <c r="C8" s="79"/>
      <c r="D8" s="79"/>
      <c r="E8" s="79"/>
      <c r="F8" s="79"/>
      <c r="G8" s="79"/>
    </row>
    <row r="9" spans="1:63" s="3" customFormat="1" x14ac:dyDescent="0.2">
      <c r="B9" s="3" t="s">
        <v>9</v>
      </c>
      <c r="C9" s="79">
        <v>14</v>
      </c>
      <c r="D9" s="79">
        <v>10</v>
      </c>
      <c r="E9" s="79">
        <v>13</v>
      </c>
      <c r="F9" s="79">
        <v>15</v>
      </c>
      <c r="G9" s="79">
        <v>20</v>
      </c>
      <c r="H9" s="3">
        <f t="shared" ref="H9:N9" si="8">G9</f>
        <v>20</v>
      </c>
      <c r="I9" s="3">
        <f t="shared" si="8"/>
        <v>20</v>
      </c>
      <c r="J9" s="3">
        <f t="shared" si="8"/>
        <v>20</v>
      </c>
      <c r="K9" s="3">
        <f t="shared" si="8"/>
        <v>20</v>
      </c>
      <c r="L9" s="3">
        <f t="shared" si="8"/>
        <v>20</v>
      </c>
      <c r="M9" s="3">
        <f t="shared" si="8"/>
        <v>20</v>
      </c>
      <c r="N9" s="3">
        <f t="shared" si="8"/>
        <v>20</v>
      </c>
      <c r="O9" s="3">
        <f t="shared" ref="O9:BJ9" si="9">N9</f>
        <v>20</v>
      </c>
      <c r="P9" s="3">
        <f t="shared" si="9"/>
        <v>20</v>
      </c>
      <c r="Q9" s="3">
        <f t="shared" si="9"/>
        <v>20</v>
      </c>
      <c r="R9" s="3">
        <f t="shared" si="9"/>
        <v>20</v>
      </c>
      <c r="S9" s="3">
        <f t="shared" si="9"/>
        <v>20</v>
      </c>
      <c r="T9" s="3">
        <f t="shared" si="9"/>
        <v>20</v>
      </c>
      <c r="U9" s="3">
        <f t="shared" si="9"/>
        <v>20</v>
      </c>
      <c r="V9" s="3">
        <f t="shared" si="9"/>
        <v>20</v>
      </c>
      <c r="W9" s="3">
        <f t="shared" si="9"/>
        <v>20</v>
      </c>
      <c r="X9" s="3">
        <f t="shared" si="9"/>
        <v>20</v>
      </c>
      <c r="Y9" s="3">
        <f t="shared" si="9"/>
        <v>20</v>
      </c>
      <c r="Z9" s="3">
        <f t="shared" si="9"/>
        <v>20</v>
      </c>
      <c r="AA9" s="3">
        <f t="shared" si="9"/>
        <v>20</v>
      </c>
      <c r="AB9" s="3">
        <f t="shared" si="9"/>
        <v>20</v>
      </c>
      <c r="AC9" s="3">
        <f t="shared" si="9"/>
        <v>20</v>
      </c>
      <c r="AD9" s="3">
        <f t="shared" si="9"/>
        <v>20</v>
      </c>
      <c r="AE9" s="3">
        <f t="shared" si="9"/>
        <v>20</v>
      </c>
      <c r="AF9" s="3">
        <f t="shared" si="9"/>
        <v>20</v>
      </c>
      <c r="AG9" s="3">
        <f t="shared" si="9"/>
        <v>20</v>
      </c>
      <c r="AH9" s="3">
        <f t="shared" si="9"/>
        <v>20</v>
      </c>
      <c r="AI9" s="3">
        <f t="shared" si="9"/>
        <v>20</v>
      </c>
      <c r="AJ9" s="3">
        <f t="shared" si="9"/>
        <v>20</v>
      </c>
      <c r="AK9" s="3">
        <f t="shared" si="9"/>
        <v>20</v>
      </c>
      <c r="AL9" s="3">
        <f t="shared" si="9"/>
        <v>20</v>
      </c>
      <c r="AM9" s="3">
        <f t="shared" si="9"/>
        <v>20</v>
      </c>
      <c r="AN9" s="3">
        <f t="shared" si="9"/>
        <v>20</v>
      </c>
      <c r="AO9" s="3">
        <f t="shared" si="9"/>
        <v>20</v>
      </c>
      <c r="AP9" s="3">
        <f t="shared" si="9"/>
        <v>20</v>
      </c>
      <c r="AQ9" s="3">
        <f t="shared" si="9"/>
        <v>20</v>
      </c>
      <c r="AR9" s="3">
        <f t="shared" si="9"/>
        <v>20</v>
      </c>
      <c r="AS9" s="3">
        <f t="shared" si="9"/>
        <v>20</v>
      </c>
      <c r="AT9" s="3">
        <f t="shared" si="9"/>
        <v>20</v>
      </c>
      <c r="AU9" s="3">
        <f t="shared" si="9"/>
        <v>20</v>
      </c>
      <c r="AV9" s="3">
        <f t="shared" si="9"/>
        <v>20</v>
      </c>
      <c r="AW9" s="3">
        <f t="shared" si="9"/>
        <v>20</v>
      </c>
      <c r="AX9" s="3">
        <f t="shared" si="9"/>
        <v>20</v>
      </c>
      <c r="AY9" s="3">
        <f t="shared" si="9"/>
        <v>20</v>
      </c>
      <c r="AZ9" s="3">
        <f t="shared" si="9"/>
        <v>20</v>
      </c>
      <c r="BA9" s="3">
        <f t="shared" si="9"/>
        <v>20</v>
      </c>
      <c r="BB9" s="3">
        <f t="shared" si="9"/>
        <v>20</v>
      </c>
      <c r="BC9" s="3">
        <f t="shared" si="9"/>
        <v>20</v>
      </c>
      <c r="BD9" s="3">
        <f t="shared" si="9"/>
        <v>20</v>
      </c>
      <c r="BE9" s="3">
        <f t="shared" si="9"/>
        <v>20</v>
      </c>
      <c r="BF9" s="3">
        <f t="shared" si="9"/>
        <v>20</v>
      </c>
      <c r="BG9" s="3">
        <f t="shared" si="9"/>
        <v>20</v>
      </c>
      <c r="BH9" s="3">
        <f t="shared" si="9"/>
        <v>20</v>
      </c>
      <c r="BI9" s="3">
        <f t="shared" si="9"/>
        <v>20</v>
      </c>
      <c r="BJ9" s="3">
        <f t="shared" si="9"/>
        <v>20</v>
      </c>
    </row>
    <row r="10" spans="1:63" customFormat="1" x14ac:dyDescent="0.2">
      <c r="A10" s="1"/>
      <c r="B10" t="s">
        <v>163</v>
      </c>
      <c r="C10" s="79">
        <v>65</v>
      </c>
      <c r="D10" s="79">
        <v>48</v>
      </c>
      <c r="E10" s="79">
        <v>66</v>
      </c>
      <c r="F10" s="79">
        <v>77</v>
      </c>
      <c r="G10" s="79">
        <v>98</v>
      </c>
      <c r="H10">
        <f t="shared" ref="H10:AH10" si="10">H9*VIsitsPerFBPicturePost</f>
        <v>100</v>
      </c>
      <c r="I10">
        <f t="shared" si="10"/>
        <v>100</v>
      </c>
      <c r="J10">
        <f t="shared" si="10"/>
        <v>100</v>
      </c>
      <c r="K10">
        <f t="shared" si="10"/>
        <v>100</v>
      </c>
      <c r="L10">
        <f t="shared" si="10"/>
        <v>100</v>
      </c>
      <c r="M10">
        <f t="shared" si="10"/>
        <v>100</v>
      </c>
      <c r="N10">
        <f t="shared" si="10"/>
        <v>100</v>
      </c>
      <c r="O10">
        <f t="shared" si="10"/>
        <v>100</v>
      </c>
      <c r="P10">
        <f t="shared" si="10"/>
        <v>100</v>
      </c>
      <c r="Q10">
        <f t="shared" si="10"/>
        <v>100</v>
      </c>
      <c r="R10">
        <f t="shared" si="10"/>
        <v>100</v>
      </c>
      <c r="S10">
        <f t="shared" si="10"/>
        <v>100</v>
      </c>
      <c r="T10">
        <f t="shared" si="10"/>
        <v>100</v>
      </c>
      <c r="U10">
        <f t="shared" si="10"/>
        <v>100</v>
      </c>
      <c r="V10">
        <f t="shared" si="10"/>
        <v>100</v>
      </c>
      <c r="W10">
        <f t="shared" si="10"/>
        <v>100</v>
      </c>
      <c r="X10">
        <f t="shared" si="10"/>
        <v>100</v>
      </c>
      <c r="Y10">
        <f t="shared" si="10"/>
        <v>100</v>
      </c>
      <c r="Z10">
        <f t="shared" si="10"/>
        <v>100</v>
      </c>
      <c r="AA10">
        <f t="shared" si="10"/>
        <v>100</v>
      </c>
      <c r="AB10">
        <f t="shared" si="10"/>
        <v>100</v>
      </c>
      <c r="AC10">
        <f t="shared" si="10"/>
        <v>100</v>
      </c>
      <c r="AD10">
        <f t="shared" si="10"/>
        <v>100</v>
      </c>
      <c r="AE10">
        <f t="shared" si="10"/>
        <v>100</v>
      </c>
      <c r="AF10">
        <f t="shared" si="10"/>
        <v>100</v>
      </c>
      <c r="AG10">
        <f t="shared" si="10"/>
        <v>100</v>
      </c>
      <c r="AH10">
        <f t="shared" si="10"/>
        <v>100</v>
      </c>
      <c r="AI10">
        <f t="shared" ref="AI10:BJ10" si="11">AI9*VIsitsPerFBPicturePost</f>
        <v>100</v>
      </c>
      <c r="AJ10">
        <f t="shared" si="11"/>
        <v>100</v>
      </c>
      <c r="AK10">
        <f t="shared" si="11"/>
        <v>100</v>
      </c>
      <c r="AL10">
        <f t="shared" si="11"/>
        <v>100</v>
      </c>
      <c r="AM10">
        <f t="shared" si="11"/>
        <v>100</v>
      </c>
      <c r="AN10">
        <f t="shared" si="11"/>
        <v>100</v>
      </c>
      <c r="AO10">
        <f t="shared" si="11"/>
        <v>100</v>
      </c>
      <c r="AP10">
        <f t="shared" si="11"/>
        <v>100</v>
      </c>
      <c r="AQ10">
        <f t="shared" si="11"/>
        <v>100</v>
      </c>
      <c r="AR10">
        <f t="shared" si="11"/>
        <v>100</v>
      </c>
      <c r="AS10">
        <f t="shared" si="11"/>
        <v>100</v>
      </c>
      <c r="AT10">
        <f t="shared" si="11"/>
        <v>100</v>
      </c>
      <c r="AU10">
        <f t="shared" si="11"/>
        <v>100</v>
      </c>
      <c r="AV10">
        <f t="shared" si="11"/>
        <v>100</v>
      </c>
      <c r="AW10">
        <f t="shared" si="11"/>
        <v>100</v>
      </c>
      <c r="AX10">
        <f t="shared" si="11"/>
        <v>100</v>
      </c>
      <c r="AY10">
        <f t="shared" si="11"/>
        <v>100</v>
      </c>
      <c r="AZ10">
        <f t="shared" si="11"/>
        <v>100</v>
      </c>
      <c r="BA10">
        <f t="shared" si="11"/>
        <v>100</v>
      </c>
      <c r="BB10">
        <f t="shared" si="11"/>
        <v>100</v>
      </c>
      <c r="BC10">
        <f t="shared" si="11"/>
        <v>100</v>
      </c>
      <c r="BD10">
        <f t="shared" si="11"/>
        <v>100</v>
      </c>
      <c r="BE10">
        <f t="shared" si="11"/>
        <v>100</v>
      </c>
      <c r="BF10">
        <f t="shared" si="11"/>
        <v>100</v>
      </c>
      <c r="BG10">
        <f t="shared" si="11"/>
        <v>100</v>
      </c>
      <c r="BH10">
        <f t="shared" si="11"/>
        <v>100</v>
      </c>
      <c r="BI10">
        <f t="shared" si="11"/>
        <v>100</v>
      </c>
      <c r="BJ10">
        <f t="shared" si="11"/>
        <v>100</v>
      </c>
    </row>
    <row r="11" spans="1:63" customFormat="1" x14ac:dyDescent="0.2">
      <c r="A11" s="1"/>
      <c r="C11" s="79"/>
      <c r="D11" s="79"/>
      <c r="E11" s="79"/>
      <c r="F11" s="79"/>
      <c r="G11" s="79"/>
    </row>
    <row r="12" spans="1:63" s="3" customFormat="1" x14ac:dyDescent="0.2">
      <c r="B12" s="3" t="s">
        <v>10</v>
      </c>
      <c r="C12" s="79">
        <v>2</v>
      </c>
      <c r="D12" s="79">
        <v>3</v>
      </c>
      <c r="E12" s="79">
        <v>5</v>
      </c>
      <c r="F12" s="79">
        <v>10</v>
      </c>
      <c r="G12" s="79">
        <v>12</v>
      </c>
      <c r="H12" s="3">
        <f t="shared" ref="H12:N12" si="12">G12</f>
        <v>12</v>
      </c>
      <c r="I12" s="3">
        <f t="shared" si="12"/>
        <v>12</v>
      </c>
      <c r="J12" s="3">
        <f t="shared" si="12"/>
        <v>12</v>
      </c>
      <c r="K12" s="3">
        <f t="shared" si="12"/>
        <v>12</v>
      </c>
      <c r="L12" s="3">
        <f t="shared" si="12"/>
        <v>12</v>
      </c>
      <c r="M12" s="3">
        <f t="shared" si="12"/>
        <v>12</v>
      </c>
      <c r="N12" s="3">
        <f t="shared" si="12"/>
        <v>12</v>
      </c>
      <c r="O12" s="3">
        <f t="shared" ref="O12:BJ12" si="13">N12</f>
        <v>12</v>
      </c>
      <c r="P12" s="3">
        <f t="shared" si="13"/>
        <v>12</v>
      </c>
      <c r="Q12" s="3">
        <f t="shared" si="13"/>
        <v>12</v>
      </c>
      <c r="R12" s="3">
        <f t="shared" si="13"/>
        <v>12</v>
      </c>
      <c r="S12" s="3">
        <f t="shared" si="13"/>
        <v>12</v>
      </c>
      <c r="T12" s="3">
        <f t="shared" si="13"/>
        <v>12</v>
      </c>
      <c r="U12" s="3">
        <f t="shared" si="13"/>
        <v>12</v>
      </c>
      <c r="V12" s="3">
        <f t="shared" si="13"/>
        <v>12</v>
      </c>
      <c r="W12" s="3">
        <f t="shared" si="13"/>
        <v>12</v>
      </c>
      <c r="X12" s="3">
        <f t="shared" si="13"/>
        <v>12</v>
      </c>
      <c r="Y12" s="3">
        <f t="shared" si="13"/>
        <v>12</v>
      </c>
      <c r="Z12" s="3">
        <f t="shared" si="13"/>
        <v>12</v>
      </c>
      <c r="AA12" s="3">
        <f t="shared" si="13"/>
        <v>12</v>
      </c>
      <c r="AB12" s="3">
        <f t="shared" si="13"/>
        <v>12</v>
      </c>
      <c r="AC12" s="3">
        <f t="shared" si="13"/>
        <v>12</v>
      </c>
      <c r="AD12" s="3">
        <f t="shared" si="13"/>
        <v>12</v>
      </c>
      <c r="AE12" s="3">
        <f t="shared" si="13"/>
        <v>12</v>
      </c>
      <c r="AF12" s="3">
        <f t="shared" si="13"/>
        <v>12</v>
      </c>
      <c r="AG12" s="3">
        <f t="shared" si="13"/>
        <v>12</v>
      </c>
      <c r="AH12" s="3">
        <f t="shared" si="13"/>
        <v>12</v>
      </c>
      <c r="AI12" s="3">
        <f t="shared" si="13"/>
        <v>12</v>
      </c>
      <c r="AJ12" s="3">
        <f t="shared" si="13"/>
        <v>12</v>
      </c>
      <c r="AK12" s="3">
        <f t="shared" si="13"/>
        <v>12</v>
      </c>
      <c r="AL12" s="3">
        <f t="shared" si="13"/>
        <v>12</v>
      </c>
      <c r="AM12" s="3">
        <f t="shared" si="13"/>
        <v>12</v>
      </c>
      <c r="AN12" s="3">
        <f t="shared" si="13"/>
        <v>12</v>
      </c>
      <c r="AO12" s="3">
        <f t="shared" si="13"/>
        <v>12</v>
      </c>
      <c r="AP12" s="3">
        <f t="shared" si="13"/>
        <v>12</v>
      </c>
      <c r="AQ12" s="3">
        <f t="shared" si="13"/>
        <v>12</v>
      </c>
      <c r="AR12" s="3">
        <f t="shared" si="13"/>
        <v>12</v>
      </c>
      <c r="AS12" s="3">
        <f t="shared" si="13"/>
        <v>12</v>
      </c>
      <c r="AT12" s="3">
        <f t="shared" si="13"/>
        <v>12</v>
      </c>
      <c r="AU12" s="3">
        <f t="shared" si="13"/>
        <v>12</v>
      </c>
      <c r="AV12" s="3">
        <f t="shared" si="13"/>
        <v>12</v>
      </c>
      <c r="AW12" s="3">
        <f t="shared" si="13"/>
        <v>12</v>
      </c>
      <c r="AX12" s="3">
        <f t="shared" si="13"/>
        <v>12</v>
      </c>
      <c r="AY12" s="3">
        <f t="shared" si="13"/>
        <v>12</v>
      </c>
      <c r="AZ12" s="3">
        <f t="shared" si="13"/>
        <v>12</v>
      </c>
      <c r="BA12" s="3">
        <f t="shared" si="13"/>
        <v>12</v>
      </c>
      <c r="BB12" s="3">
        <f t="shared" si="13"/>
        <v>12</v>
      </c>
      <c r="BC12" s="3">
        <f t="shared" si="13"/>
        <v>12</v>
      </c>
      <c r="BD12" s="3">
        <f t="shared" si="13"/>
        <v>12</v>
      </c>
      <c r="BE12" s="3">
        <f t="shared" si="13"/>
        <v>12</v>
      </c>
      <c r="BF12" s="3">
        <f t="shared" si="13"/>
        <v>12</v>
      </c>
      <c r="BG12" s="3">
        <f t="shared" si="13"/>
        <v>12</v>
      </c>
      <c r="BH12" s="3">
        <f t="shared" si="13"/>
        <v>12</v>
      </c>
      <c r="BI12" s="3">
        <f t="shared" si="13"/>
        <v>12</v>
      </c>
      <c r="BJ12" s="3">
        <f t="shared" si="13"/>
        <v>12</v>
      </c>
    </row>
    <row r="13" spans="1:63" customFormat="1" x14ac:dyDescent="0.2">
      <c r="A13" s="1"/>
      <c r="B13" t="s">
        <v>164</v>
      </c>
      <c r="C13" s="79">
        <v>45</v>
      </c>
      <c r="D13" s="79">
        <v>88</v>
      </c>
      <c r="E13" s="79">
        <v>121</v>
      </c>
      <c r="F13" s="79">
        <v>237</v>
      </c>
      <c r="G13" s="79">
        <v>296</v>
      </c>
      <c r="H13">
        <f t="shared" ref="H13:AH13" si="14">H12*VIsitsPerFBVideoPost</f>
        <v>300</v>
      </c>
      <c r="I13">
        <f t="shared" si="14"/>
        <v>300</v>
      </c>
      <c r="J13">
        <f t="shared" si="14"/>
        <v>300</v>
      </c>
      <c r="K13">
        <f t="shared" si="14"/>
        <v>300</v>
      </c>
      <c r="L13">
        <f t="shared" si="14"/>
        <v>300</v>
      </c>
      <c r="M13">
        <f t="shared" si="14"/>
        <v>300</v>
      </c>
      <c r="N13">
        <f t="shared" si="14"/>
        <v>300</v>
      </c>
      <c r="O13">
        <f t="shared" si="14"/>
        <v>300</v>
      </c>
      <c r="P13">
        <f t="shared" si="14"/>
        <v>300</v>
      </c>
      <c r="Q13">
        <f t="shared" si="14"/>
        <v>300</v>
      </c>
      <c r="R13">
        <f t="shared" si="14"/>
        <v>300</v>
      </c>
      <c r="S13">
        <f t="shared" si="14"/>
        <v>300</v>
      </c>
      <c r="T13">
        <f t="shared" si="14"/>
        <v>300</v>
      </c>
      <c r="U13">
        <f t="shared" si="14"/>
        <v>300</v>
      </c>
      <c r="V13">
        <f t="shared" si="14"/>
        <v>300</v>
      </c>
      <c r="W13">
        <f t="shared" si="14"/>
        <v>300</v>
      </c>
      <c r="X13">
        <f t="shared" si="14"/>
        <v>300</v>
      </c>
      <c r="Y13">
        <f t="shared" si="14"/>
        <v>300</v>
      </c>
      <c r="Z13">
        <f t="shared" si="14"/>
        <v>300</v>
      </c>
      <c r="AA13">
        <f t="shared" si="14"/>
        <v>300</v>
      </c>
      <c r="AB13">
        <f t="shared" si="14"/>
        <v>300</v>
      </c>
      <c r="AC13">
        <f t="shared" si="14"/>
        <v>300</v>
      </c>
      <c r="AD13">
        <f t="shared" si="14"/>
        <v>300</v>
      </c>
      <c r="AE13">
        <f t="shared" si="14"/>
        <v>300</v>
      </c>
      <c r="AF13">
        <f t="shared" si="14"/>
        <v>300</v>
      </c>
      <c r="AG13">
        <f t="shared" si="14"/>
        <v>300</v>
      </c>
      <c r="AH13">
        <f t="shared" si="14"/>
        <v>300</v>
      </c>
      <c r="AI13">
        <f t="shared" ref="AI13:BJ13" si="15">AI12*VIsitsPerFBVideoPost</f>
        <v>300</v>
      </c>
      <c r="AJ13">
        <f t="shared" si="15"/>
        <v>300</v>
      </c>
      <c r="AK13">
        <f t="shared" si="15"/>
        <v>300</v>
      </c>
      <c r="AL13">
        <f t="shared" si="15"/>
        <v>300</v>
      </c>
      <c r="AM13">
        <f t="shared" si="15"/>
        <v>300</v>
      </c>
      <c r="AN13">
        <f t="shared" si="15"/>
        <v>300</v>
      </c>
      <c r="AO13">
        <f t="shared" si="15"/>
        <v>300</v>
      </c>
      <c r="AP13">
        <f t="shared" si="15"/>
        <v>300</v>
      </c>
      <c r="AQ13">
        <f t="shared" si="15"/>
        <v>300</v>
      </c>
      <c r="AR13">
        <f t="shared" si="15"/>
        <v>300</v>
      </c>
      <c r="AS13">
        <f t="shared" si="15"/>
        <v>300</v>
      </c>
      <c r="AT13">
        <f t="shared" si="15"/>
        <v>300</v>
      </c>
      <c r="AU13">
        <f t="shared" si="15"/>
        <v>300</v>
      </c>
      <c r="AV13">
        <f t="shared" si="15"/>
        <v>300</v>
      </c>
      <c r="AW13">
        <f t="shared" si="15"/>
        <v>300</v>
      </c>
      <c r="AX13">
        <f t="shared" si="15"/>
        <v>300</v>
      </c>
      <c r="AY13">
        <f t="shared" si="15"/>
        <v>300</v>
      </c>
      <c r="AZ13">
        <f t="shared" si="15"/>
        <v>300</v>
      </c>
      <c r="BA13">
        <f t="shared" si="15"/>
        <v>300</v>
      </c>
      <c r="BB13">
        <f t="shared" si="15"/>
        <v>300</v>
      </c>
      <c r="BC13">
        <f t="shared" si="15"/>
        <v>300</v>
      </c>
      <c r="BD13">
        <f t="shared" si="15"/>
        <v>300</v>
      </c>
      <c r="BE13">
        <f t="shared" si="15"/>
        <v>300</v>
      </c>
      <c r="BF13">
        <f t="shared" si="15"/>
        <v>300</v>
      </c>
      <c r="BG13">
        <f t="shared" si="15"/>
        <v>300</v>
      </c>
      <c r="BH13">
        <f t="shared" si="15"/>
        <v>300</v>
      </c>
      <c r="BI13">
        <f t="shared" si="15"/>
        <v>300</v>
      </c>
      <c r="BJ13">
        <f t="shared" si="15"/>
        <v>300</v>
      </c>
    </row>
    <row r="14" spans="1:63" s="2" customFormat="1" x14ac:dyDescent="0.2">
      <c r="C14" s="81"/>
      <c r="D14" s="81"/>
      <c r="E14" s="81"/>
      <c r="F14" s="81"/>
      <c r="G14" s="81"/>
    </row>
    <row r="15" spans="1:63" x14ac:dyDescent="0.2">
      <c r="B15" s="1" t="s">
        <v>37</v>
      </c>
      <c r="C15" s="78">
        <v>99</v>
      </c>
      <c r="D15" s="78">
        <v>523</v>
      </c>
      <c r="E15" s="78">
        <v>632</v>
      </c>
      <c r="F15" s="78">
        <v>722</v>
      </c>
      <c r="G15" s="78">
        <v>3929</v>
      </c>
      <c r="H15" s="1">
        <f>DirectTrafficMultiplier*(H4+H7+H10+H13+H16+'Sales Detail'!G7)</f>
        <v>3938.6984504504503</v>
      </c>
      <c r="I15" s="1">
        <f>DirectTrafficMultiplier*(I4+I7+I10+I13+I16+'Sales Detail'!H7)</f>
        <v>4032.5702504504502</v>
      </c>
      <c r="J15" s="1">
        <f>DirectTrafficMultiplier*(J4+J7+J10+J13+J16+'Sales Detail'!I7)</f>
        <v>4129.4602304504506</v>
      </c>
      <c r="K15" s="1">
        <f>DirectTrafficMultiplier*(K4+K7+K10+K13+K16+'Sales Detail'!J7)</f>
        <v>4229.8352084504504</v>
      </c>
      <c r="L15" s="1">
        <f>DirectTrafficMultiplier*(L4+L7+L10+L13+L16+'Sales Detail'!K7)</f>
        <v>4334.5386842504504</v>
      </c>
      <c r="M15" s="1">
        <f>DirectTrafficMultiplier*(M4+M7+M10+M13+M16+'Sales Detail'!L7)</f>
        <v>4443.8055076304508</v>
      </c>
      <c r="N15" s="1">
        <f>DirectTrafficMultiplier*(N4+N7+N10+N13+N16+'Sales Detail'!M7)</f>
        <v>4558.2570133484514</v>
      </c>
      <c r="O15" s="1">
        <f>DirectTrafficMultiplier*(O4+O7+O10+O13+O16+'Sales Detail'!N7)</f>
        <v>4679.2366696382514</v>
      </c>
      <c r="P15" s="1">
        <f>DirectTrafficMultiplier*(P4+P7+P10+P13+P16+'Sales Detail'!O7)</f>
        <v>4807.1662915570314</v>
      </c>
      <c r="Q15" s="1">
        <f>DirectTrafficMultiplier*(Q4+Q7+Q10+Q13+Q16+'Sales Detail'!P7)</f>
        <v>4942.8728756676892</v>
      </c>
      <c r="R15" s="1">
        <f>DirectTrafficMultiplier*(R4+R7+R10+R13+R16+'Sales Detail'!Q7)</f>
        <v>5087.2661181894127</v>
      </c>
      <c r="S15" s="1">
        <f>DirectTrafficMultiplier*(S4+S7+S10+S13+S16+'Sales Detail'!R7)</f>
        <v>5241.6766849633095</v>
      </c>
      <c r="T15" s="1">
        <f>DirectTrafficMultiplier*(T4+T7+T10+T13+T16+'Sales Detail'!S7)</f>
        <v>5406.8753084145956</v>
      </c>
      <c r="U15" s="1">
        <f>DirectTrafficMultiplier*(U4+U7+U10+U13+U16+'Sales Detail'!T7)</f>
        <v>5584.7327942110096</v>
      </c>
      <c r="V15" s="1">
        <f>DirectTrafficMultiplier*(V4+V7+V10+V13+V16+'Sales Detail'!U7)</f>
        <v>5776.2510285870667</v>
      </c>
      <c r="W15" s="1">
        <f>DirectTrafficMultiplier*(W4+W7+W10+W13+W16+'Sales Detail'!V7)</f>
        <v>5983.2250864007283</v>
      </c>
      <c r="X15" s="1">
        <f>DirectTrafficMultiplier*(X4+X7+X10+X13+X16+'Sales Detail'!W7)</f>
        <v>6207.2665499957566</v>
      </c>
      <c r="Y15" s="1">
        <f>DirectTrafficMultiplier*(Y4+Y7+Y10+Y13+Y16+'Sales Detail'!X7)</f>
        <v>6450.1481599502877</v>
      </c>
      <c r="Z15" s="1">
        <f>DirectTrafficMultiplier*(Z4+Z7+Z10+Z13+Z16+'Sales Detail'!Y7)</f>
        <v>6713.8199309002721</v>
      </c>
      <c r="AA15" s="1">
        <f>DirectTrafficMultiplier*(AA4+AA7+AA10+AA13+AA16+'Sales Detail'!Z7)</f>
        <v>7000.7568789452544</v>
      </c>
      <c r="AB15" s="1">
        <f>DirectTrafficMultiplier*(AB4+AB7+AB10+AB13+AB16+'Sales Detail'!AA7)</f>
        <v>7312.988521794734</v>
      </c>
      <c r="AC15" s="1">
        <f>DirectTrafficMultiplier*(AC4+AC7+AC10+AC13+AC16+'Sales Detail'!AB7)</f>
        <v>7653.7703289291621</v>
      </c>
      <c r="AD15" s="1">
        <f>DirectTrafficMultiplier*(AD4+AD7+AD10+AD13+AD16+'Sales Detail'!AC7)</f>
        <v>8025.6273167770341</v>
      </c>
      <c r="AE15" s="1">
        <f>DirectTrafficMultiplier*(AE4+AE7+AE10+AE13+AE16+'Sales Detail'!AD7)</f>
        <v>8432.0300034096927</v>
      </c>
      <c r="AF15" s="1">
        <f>DirectTrafficMultiplier*(AF4+AF7+AF10+AF13+AF16+'Sales Detail'!AE7)</f>
        <v>8876.4329587056181</v>
      </c>
      <c r="AG15" s="1">
        <f>DirectTrafficMultiplier*(AG4+AG7+AG10+AG13+AG16+'Sales Detail'!AF7)</f>
        <v>9362.6362095311342</v>
      </c>
      <c r="AH15" s="1">
        <f>DirectTrafficMultiplier*(AH4+AH7+AH10+AH13+AH16+'Sales Detail'!AG7)</f>
        <v>9894.8197854392038</v>
      </c>
      <c r="AI15" s="1">
        <f>DirectTrafficMultiplier*(AI4+AI7+AI10+AI13+AI16+'Sales Detail'!AH7)</f>
        <v>10477.91171893808</v>
      </c>
      <c r="AJ15" s="1">
        <f>DirectTrafficMultiplier*(AJ4+AJ7+AJ10+AJ13+AJ16+'Sales Detail'!AI7)</f>
        <v>11117.299845786842</v>
      </c>
      <c r="AK15" s="1">
        <f>DirectTrafficMultiplier*(AK4+AK7+AK10+AK13+AK16+'Sales Detail'!AJ7)</f>
        <v>11818.217785320483</v>
      </c>
      <c r="AL15" s="1">
        <f>DirectTrafficMultiplier*(AL4+AL7+AL10+AL13+AL16+'Sales Detail'!AK7)</f>
        <v>12587.115518807486</v>
      </c>
      <c r="AM15" s="1">
        <f>DirectTrafficMultiplier*(AM4+AM7+AM10+AM13+AM16+'Sales Detail'!AL7)</f>
        <v>13431.055025643191</v>
      </c>
      <c r="AN15" s="1">
        <f>DirectTrafficMultiplier*(AN4+AN7+AN10+AN13+AN16+'Sales Detail'!AM7)</f>
        <v>14357.441483162467</v>
      </c>
      <c r="AO15" s="1">
        <f>DirectTrafficMultiplier*(AO4+AO7+AO10+AO13+AO16+'Sales Detail'!AN7)</f>
        <v>15374.420586433665</v>
      </c>
      <c r="AP15" s="1">
        <f>DirectTrafficMultiplier*(AP4+AP7+AP10+AP13+AP16+'Sales Detail'!AO7)</f>
        <v>16491.612600031993</v>
      </c>
      <c r="AQ15" s="1">
        <f>DirectTrafficMultiplier*(AQ4+AQ7+AQ10+AQ13+AQ16+'Sales Detail'!AP7)</f>
        <v>17718.873814990147</v>
      </c>
      <c r="AR15" s="1">
        <f>DirectTrafficMultiplier*(AR4+AR7+AR10+AR13+AR16+'Sales Detail'!AQ7)</f>
        <v>19067.046151444116</v>
      </c>
      <c r="AS15" s="1">
        <f>DirectTrafficMultiplier*(AS4+AS7+AS10+AS13+AS16+'Sales Detail'!AR7)</f>
        <v>20548.715721543482</v>
      </c>
      <c r="AT15" s="1">
        <f>DirectTrafficMultiplier*(AT4+AT7+AT10+AT13+AT16+'Sales Detail'!AS7)</f>
        <v>22176.671248652787</v>
      </c>
      <c r="AU15" s="1">
        <f>DirectTrafficMultiplier*(AU4+AU7+AU10+AU13+AU16+'Sales Detail'!AT7)</f>
        <v>23966.003328473023</v>
      </c>
      <c r="AV15" s="1">
        <f>DirectTrafficMultiplier*(AV4+AV7+AV10+AV13+AV16+'Sales Detail'!AU7)</f>
        <v>25932.915616275281</v>
      </c>
      <c r="AW15" s="1">
        <f>DirectTrafficMultiplier*(AW4+AW7+AW10+AW13+AW16+'Sales Detail'!AV7)</f>
        <v>28095.529132857766</v>
      </c>
      <c r="AX15" s="1">
        <f>DirectTrafficMultiplier*(AX4+AX7+AX10+AX13+AX16+'Sales Detail'!AW7)</f>
        <v>30473.051001098502</v>
      </c>
      <c r="AY15" s="1">
        <f>DirectTrafficMultiplier*(AY4+AY7+AY10+AY13+AY16+'Sales Detail'!AX7)</f>
        <v>33086.939056163312</v>
      </c>
      <c r="AZ15" s="1">
        <f>DirectTrafficMultiplier*(AZ4+AZ7+AZ10+AZ13+AZ16+'Sales Detail'!AY7)</f>
        <v>35961.0939167346</v>
      </c>
      <c r="BA15" s="1">
        <f>DirectTrafficMultiplier*(BA4+BA7+BA10+BA13+BA16+'Sales Detail'!AZ7)</f>
        <v>39121.410263363017</v>
      </c>
      <c r="BB15" s="1">
        <f>DirectTrafficMultiplier*(BB4+BB7+BB10+BB13+BB16+'Sales Detail'!BA7)</f>
        <v>42596.339244654271</v>
      </c>
      <c r="BC15" s="1">
        <f>DirectTrafficMultiplier*(BC4+BC7+BC10+BC13+BC16+'Sales Detail'!BB7)</f>
        <v>46418.134124074655</v>
      </c>
      <c r="BD15" s="1">
        <f>DirectTrafficMultiplier*(BD4+BD7+BD10+BD13+BD16+'Sales Detail'!BC7)</f>
        <v>50620.821491437076</v>
      </c>
      <c r="BE15" s="1">
        <f>DirectTrafficMultiplier*(BE4+BE7+BE10+BE13+BE16+'Sales Detail'!BD7)</f>
        <v>55243.150595535735</v>
      </c>
      <c r="BF15" s="1">
        <f>DirectTrafficMultiplier*(BF4+BF7+BF10+BF13+BF16+'Sales Detail'!BE7)</f>
        <v>60326.293610044275</v>
      </c>
      <c r="BG15" s="1">
        <f>DirectTrafficMultiplier*(BG4+BG7+BG10+BG13+BG16+'Sales Detail'!BF7)</f>
        <v>65917.189926003659</v>
      </c>
      <c r="BH15" s="1">
        <f>DirectTrafficMultiplier*(BH4+BH7+BH10+BH13+BH16+'Sales Detail'!BG7)</f>
        <v>72066.31787355899</v>
      </c>
      <c r="BI15" s="1">
        <f>DirectTrafficMultiplier*(BI4+BI7+BI10+BI13+BI16+'Sales Detail'!BH7)</f>
        <v>78829.467615869842</v>
      </c>
      <c r="BJ15" s="1">
        <f>DirectTrafficMultiplier*(BJ4+BJ7+BJ10+BJ13+BJ16+'Sales Detail'!BI7)</f>
        <v>86268.239332411787</v>
      </c>
    </row>
    <row r="16" spans="1:63" x14ac:dyDescent="0.2">
      <c r="B16" s="1" t="s">
        <v>38</v>
      </c>
      <c r="C16" s="78">
        <v>874</v>
      </c>
      <c r="D16" s="78">
        <v>903</v>
      </c>
      <c r="E16" s="78">
        <v>1193</v>
      </c>
      <c r="F16" s="78">
        <v>1159</v>
      </c>
      <c r="G16" s="78">
        <v>1286</v>
      </c>
      <c r="H16" s="1">
        <f t="shared" ref="H16:AI16" si="16">G16*(1+OrganicTrafficMonthlyGrowthRate)</f>
        <v>1414.6000000000001</v>
      </c>
      <c r="I16" s="1">
        <f t="shared" si="16"/>
        <v>1556.0600000000002</v>
      </c>
      <c r="J16" s="1">
        <f t="shared" si="16"/>
        <v>1711.6660000000004</v>
      </c>
      <c r="K16" s="1">
        <f t="shared" si="16"/>
        <v>1882.8326000000006</v>
      </c>
      <c r="L16" s="1">
        <f t="shared" si="16"/>
        <v>2071.1158600000008</v>
      </c>
      <c r="M16" s="1">
        <f t="shared" si="16"/>
        <v>2278.2274460000012</v>
      </c>
      <c r="N16" s="1">
        <f t="shared" si="16"/>
        <v>2506.0501906000018</v>
      </c>
      <c r="O16" s="1">
        <f t="shared" si="16"/>
        <v>2756.6552096600021</v>
      </c>
      <c r="P16" s="1">
        <f t="shared" si="16"/>
        <v>3032.3207306260024</v>
      </c>
      <c r="Q16" s="1">
        <f t="shared" si="16"/>
        <v>3335.552803688603</v>
      </c>
      <c r="R16" s="1">
        <f t="shared" si="16"/>
        <v>3669.1080840574637</v>
      </c>
      <c r="S16" s="1">
        <f t="shared" si="16"/>
        <v>4036.0188924632102</v>
      </c>
      <c r="T16" s="1">
        <f t="shared" si="16"/>
        <v>4439.6207817095319</v>
      </c>
      <c r="U16" s="1">
        <f t="shared" si="16"/>
        <v>4883.5828598804856</v>
      </c>
      <c r="V16" s="1">
        <f t="shared" si="16"/>
        <v>5371.9411458685345</v>
      </c>
      <c r="W16" s="1">
        <f t="shared" si="16"/>
        <v>5909.1352604553886</v>
      </c>
      <c r="X16" s="1">
        <f t="shared" si="16"/>
        <v>6500.0487865009281</v>
      </c>
      <c r="Y16" s="1">
        <f t="shared" si="16"/>
        <v>7150.053665151022</v>
      </c>
      <c r="Z16" s="1">
        <f t="shared" si="16"/>
        <v>7865.0590316661246</v>
      </c>
      <c r="AA16" s="1">
        <f t="shared" si="16"/>
        <v>8651.564934832737</v>
      </c>
      <c r="AB16" s="1">
        <f t="shared" si="16"/>
        <v>9516.721428316012</v>
      </c>
      <c r="AC16" s="1">
        <f t="shared" si="16"/>
        <v>10468.393571147613</v>
      </c>
      <c r="AD16" s="1">
        <f t="shared" si="16"/>
        <v>11515.232928262376</v>
      </c>
      <c r="AE16" s="1">
        <f t="shared" si="16"/>
        <v>12666.756221088615</v>
      </c>
      <c r="AF16" s="1">
        <f t="shared" si="16"/>
        <v>13933.431843197479</v>
      </c>
      <c r="AG16" s="1">
        <f t="shared" si="16"/>
        <v>15326.775027517227</v>
      </c>
      <c r="AH16" s="1">
        <f t="shared" si="16"/>
        <v>16859.452530268951</v>
      </c>
      <c r="AI16" s="1">
        <f t="shared" si="16"/>
        <v>18545.397783295848</v>
      </c>
      <c r="AJ16" s="1">
        <f t="shared" ref="AJ16:BJ16" si="17">AI16*(1+OrganicTrafficMonthlyGrowthRate)</f>
        <v>20399.937561625433</v>
      </c>
      <c r="AK16" s="1">
        <f t="shared" si="17"/>
        <v>22439.931317787978</v>
      </c>
      <c r="AL16" s="1">
        <f t="shared" si="17"/>
        <v>24683.924449566777</v>
      </c>
      <c r="AM16" s="1">
        <f t="shared" si="17"/>
        <v>27152.316894523457</v>
      </c>
      <c r="AN16" s="1">
        <f t="shared" si="17"/>
        <v>29867.548583975804</v>
      </c>
      <c r="AO16" s="1">
        <f t="shared" si="17"/>
        <v>32854.303442373384</v>
      </c>
      <c r="AP16" s="1">
        <f t="shared" si="17"/>
        <v>36139.733786610726</v>
      </c>
      <c r="AQ16" s="1">
        <f t="shared" si="17"/>
        <v>39753.7071652718</v>
      </c>
      <c r="AR16" s="1">
        <f t="shared" si="17"/>
        <v>43729.077881798985</v>
      </c>
      <c r="AS16" s="1">
        <f t="shared" si="17"/>
        <v>48101.985669978887</v>
      </c>
      <c r="AT16" s="1">
        <f t="shared" si="17"/>
        <v>52912.184236976776</v>
      </c>
      <c r="AU16" s="1">
        <f t="shared" si="17"/>
        <v>58203.402660674459</v>
      </c>
      <c r="AV16" s="1">
        <f t="shared" si="17"/>
        <v>64023.742926741914</v>
      </c>
      <c r="AW16" s="1">
        <f t="shared" si="17"/>
        <v>70426.117219416104</v>
      </c>
      <c r="AX16" s="1">
        <f t="shared" si="17"/>
        <v>77468.728941357724</v>
      </c>
      <c r="AY16" s="1">
        <f t="shared" si="17"/>
        <v>85215.601835493508</v>
      </c>
      <c r="AZ16" s="1">
        <f t="shared" si="17"/>
        <v>93737.162019042866</v>
      </c>
      <c r="BA16" s="1">
        <f t="shared" si="17"/>
        <v>103110.87822094715</v>
      </c>
      <c r="BB16" s="1">
        <f t="shared" si="17"/>
        <v>113421.96604304187</v>
      </c>
      <c r="BC16" s="1">
        <f t="shared" si="17"/>
        <v>124764.16264734606</v>
      </c>
      <c r="BD16" s="1">
        <f t="shared" si="17"/>
        <v>137240.57891208067</v>
      </c>
      <c r="BE16" s="1">
        <f t="shared" si="17"/>
        <v>150964.63680328874</v>
      </c>
      <c r="BF16" s="1">
        <f t="shared" si="17"/>
        <v>166061.10048361763</v>
      </c>
      <c r="BG16" s="1">
        <f t="shared" si="17"/>
        <v>182667.21053197942</v>
      </c>
      <c r="BH16" s="1">
        <f t="shared" si="17"/>
        <v>200933.93158517737</v>
      </c>
      <c r="BI16" s="1">
        <f t="shared" si="17"/>
        <v>221027.32474369512</v>
      </c>
      <c r="BJ16" s="1">
        <f t="shared" si="17"/>
        <v>243130.05721806464</v>
      </c>
    </row>
    <row r="17" spans="2:62" x14ac:dyDescent="0.2">
      <c r="C17" s="42"/>
      <c r="D17" s="42"/>
      <c r="E17" s="42"/>
      <c r="F17" s="42"/>
      <c r="G17" s="42"/>
    </row>
    <row r="18" spans="2:62" s="2" customFormat="1" x14ac:dyDescent="0.2">
      <c r="B18" s="2" t="s">
        <v>40</v>
      </c>
      <c r="C18" s="82">
        <f>C16+C15+C7+C4+C10+C13</f>
        <v>1273</v>
      </c>
      <c r="D18" s="82">
        <f t="shared" ref="D18:BJ18" si="18">D16+D15+D7+D4+D10+D13</f>
        <v>1808</v>
      </c>
      <c r="E18" s="82">
        <f t="shared" si="18"/>
        <v>2403</v>
      </c>
      <c r="F18" s="82">
        <f t="shared" si="18"/>
        <v>2627</v>
      </c>
      <c r="G18" s="82">
        <f t="shared" si="18"/>
        <v>15539</v>
      </c>
      <c r="H18" s="2">
        <f t="shared" si="18"/>
        <v>15603.148300300301</v>
      </c>
      <c r="I18" s="2">
        <f t="shared" si="18"/>
        <v>15838.480100300301</v>
      </c>
      <c r="J18" s="2">
        <f t="shared" si="18"/>
        <v>16090.976080300301</v>
      </c>
      <c r="K18" s="2">
        <f t="shared" si="18"/>
        <v>16362.517658300301</v>
      </c>
      <c r="L18" s="2">
        <f t="shared" si="18"/>
        <v>16655.504394100302</v>
      </c>
      <c r="M18" s="2">
        <f t="shared" si="18"/>
        <v>16971.882803480301</v>
      </c>
      <c r="N18" s="2">
        <f t="shared" si="18"/>
        <v>17314.157053798303</v>
      </c>
      <c r="O18" s="2">
        <f t="shared" si="18"/>
        <v>17685.741729148103</v>
      </c>
      <c r="P18" s="2">
        <f t="shared" si="18"/>
        <v>18089.336872032884</v>
      </c>
      <c r="Q18" s="2">
        <f t="shared" si="18"/>
        <v>18528.275529206141</v>
      </c>
      <c r="R18" s="2">
        <f t="shared" si="18"/>
        <v>19006.224052096724</v>
      </c>
      <c r="S18" s="2">
        <f t="shared" si="18"/>
        <v>19527.545427276367</v>
      </c>
      <c r="T18" s="2">
        <f t="shared" si="18"/>
        <v>20096.345939973977</v>
      </c>
      <c r="U18" s="2">
        <f t="shared" si="18"/>
        <v>20718.165503941345</v>
      </c>
      <c r="V18" s="2">
        <f t="shared" si="18"/>
        <v>21398.042024305454</v>
      </c>
      <c r="W18" s="2">
        <f t="shared" si="18"/>
        <v>22142.210196705964</v>
      </c>
      <c r="X18" s="2">
        <f t="shared" si="18"/>
        <v>22957.165186346538</v>
      </c>
      <c r="Y18" s="2">
        <f t="shared" si="18"/>
        <v>23850.051674951159</v>
      </c>
      <c r="Z18" s="2">
        <f t="shared" si="18"/>
        <v>24828.728812416244</v>
      </c>
      <c r="AA18" s="2">
        <f t="shared" si="18"/>
        <v>25902.171663627843</v>
      </c>
      <c r="AB18" s="2">
        <f t="shared" si="18"/>
        <v>27079.559799960596</v>
      </c>
      <c r="AC18" s="2">
        <f t="shared" si="18"/>
        <v>28372.013749926627</v>
      </c>
      <c r="AD18" s="2">
        <f t="shared" si="18"/>
        <v>29790.710094889262</v>
      </c>
      <c r="AE18" s="2">
        <f t="shared" si="18"/>
        <v>31348.636074348156</v>
      </c>
      <c r="AF18" s="2">
        <f t="shared" si="18"/>
        <v>33059.714651752947</v>
      </c>
      <c r="AG18" s="2">
        <f t="shared" si="18"/>
        <v>34939.261086898216</v>
      </c>
      <c r="AH18" s="2">
        <f t="shared" si="18"/>
        <v>37004.122165558008</v>
      </c>
      <c r="AI18" s="2">
        <f t="shared" si="18"/>
        <v>39273.159352083778</v>
      </c>
      <c r="AJ18" s="2">
        <f t="shared" si="18"/>
        <v>41767.087257262123</v>
      </c>
      <c r="AK18" s="2">
        <f t="shared" si="18"/>
        <v>44507.998952958311</v>
      </c>
      <c r="AL18" s="2">
        <f t="shared" si="18"/>
        <v>47520.889818224117</v>
      </c>
      <c r="AM18" s="2">
        <f t="shared" si="18"/>
        <v>50833.221770016498</v>
      </c>
      <c r="AN18" s="2">
        <f t="shared" si="18"/>
        <v>54474.839916988123</v>
      </c>
      <c r="AO18" s="2">
        <f t="shared" si="18"/>
        <v>58478.573878656898</v>
      </c>
      <c r="AP18" s="2">
        <f t="shared" si="18"/>
        <v>62881.196236492571</v>
      </c>
      <c r="AQ18" s="2">
        <f t="shared" si="18"/>
        <v>67722.4308301118</v>
      </c>
      <c r="AR18" s="2">
        <f t="shared" si="18"/>
        <v>73045.973883092942</v>
      </c>
      <c r="AS18" s="2">
        <f t="shared" si="18"/>
        <v>78900.551241372203</v>
      </c>
      <c r="AT18" s="2">
        <f t="shared" si="18"/>
        <v>85338.705335479404</v>
      </c>
      <c r="AU18" s="2">
        <f t="shared" si="18"/>
        <v>92419.255838997327</v>
      </c>
      <c r="AV18" s="2">
        <f t="shared" si="18"/>
        <v>100206.50839286704</v>
      </c>
      <c r="AW18" s="2">
        <f t="shared" si="18"/>
        <v>108771.49620212372</v>
      </c>
      <c r="AX18" s="2">
        <f t="shared" si="18"/>
        <v>118191.62979230606</v>
      </c>
      <c r="AY18" s="2">
        <f t="shared" si="18"/>
        <v>128552.39074150666</v>
      </c>
      <c r="AZ18" s="2">
        <f t="shared" si="18"/>
        <v>139948.10578562733</v>
      </c>
      <c r="BA18" s="2">
        <f t="shared" si="18"/>
        <v>152482.13833416003</v>
      </c>
      <c r="BB18" s="2">
        <f t="shared" si="18"/>
        <v>166268.15513754598</v>
      </c>
      <c r="BC18" s="2">
        <f t="shared" si="18"/>
        <v>181432.14662127057</v>
      </c>
      <c r="BD18" s="2">
        <f t="shared" si="18"/>
        <v>198111.25025336762</v>
      </c>
      <c r="BE18" s="2">
        <f t="shared" si="18"/>
        <v>216457.63724867432</v>
      </c>
      <c r="BF18" s="2">
        <f t="shared" si="18"/>
        <v>236637.24394351177</v>
      </c>
      <c r="BG18" s="2">
        <f t="shared" si="18"/>
        <v>258834.25030783293</v>
      </c>
      <c r="BH18" s="2">
        <f t="shared" si="18"/>
        <v>283250.09930858621</v>
      </c>
      <c r="BI18" s="2">
        <f t="shared" si="18"/>
        <v>310106.6422094148</v>
      </c>
      <c r="BJ18" s="2">
        <f t="shared" si="18"/>
        <v>339648.14640032628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40</vt:i4>
      </vt:variant>
    </vt:vector>
  </HeadingPairs>
  <TitlesOfParts>
    <vt:vector size="53" baseType="lpstr">
      <vt:lpstr>Assumptions</vt:lpstr>
      <vt:lpstr>Charts</vt:lpstr>
      <vt:lpstr>Annual Income Statement</vt:lpstr>
      <vt:lpstr>Annual Balance Sheet</vt:lpstr>
      <vt:lpstr>Annual Cash Flow</vt:lpstr>
      <vt:lpstr>Monthly Income Statement</vt:lpstr>
      <vt:lpstr>Monthly Balance Sheet</vt:lpstr>
      <vt:lpstr>Monthly Cash Flow</vt:lpstr>
      <vt:lpstr>Traffic Detail</vt:lpstr>
      <vt:lpstr>Sales Detail</vt:lpstr>
      <vt:lpstr>Employees</vt:lpstr>
      <vt:lpstr>Unit Economics</vt:lpstr>
      <vt:lpstr>Waterfalls</vt:lpstr>
      <vt:lpstr>AverageAPDays</vt:lpstr>
      <vt:lpstr>AverageARDays</vt:lpstr>
      <vt:lpstr>AverageCPCGoogle</vt:lpstr>
      <vt:lpstr>AverageCPConFACEBOOK</vt:lpstr>
      <vt:lpstr>CPMGrowthPerMonth</vt:lpstr>
      <vt:lpstr>DirectTrafficMultiplier</vt:lpstr>
      <vt:lpstr>eCommerceMargin</vt:lpstr>
      <vt:lpstr>FacebookToEcommerce</vt:lpstr>
      <vt:lpstr>FacebookToSubscriber</vt:lpstr>
      <vt:lpstr>InternetBaseCost</vt:lpstr>
      <vt:lpstr>InternetCostPer1MMVisits</vt:lpstr>
      <vt:lpstr>InventoryDaysOnHand</vt:lpstr>
      <vt:lpstr>LegalAndAccountingCostPerMonth</vt:lpstr>
      <vt:lpstr>MaxCPMOnAdsSold</vt:lpstr>
      <vt:lpstr>MaximumMktgSpendOfCash</vt:lpstr>
      <vt:lpstr>MonthlySubscriptionChurn</vt:lpstr>
      <vt:lpstr>MonthlySubscriptionPrice</vt:lpstr>
      <vt:lpstr>OpeningCashBalance</vt:lpstr>
      <vt:lpstr>OptionPoolPercentage</vt:lpstr>
      <vt:lpstr>OrdersPerWarehouseHelpPerson</vt:lpstr>
      <vt:lpstr>OrganicToEcommerceConversion</vt:lpstr>
      <vt:lpstr>OrganicToSubscriberConversion</vt:lpstr>
      <vt:lpstr>OrganicTrafficMonthlyGrowthRate</vt:lpstr>
      <vt:lpstr>PagesPerVisit</vt:lpstr>
      <vt:lpstr>PreMoneyMonth1</vt:lpstr>
      <vt:lpstr>RecruitingPerNewEmployee</vt:lpstr>
      <vt:lpstr>RentPerEmployee</vt:lpstr>
      <vt:lpstr>RevenueMultiple</vt:lpstr>
      <vt:lpstr>SEMToEcommerce</vt:lpstr>
      <vt:lpstr>SEMToSubscriber</vt:lpstr>
      <vt:lpstr>SeriesAFunding</vt:lpstr>
      <vt:lpstr>SteadyStateMonthlyFBSpend</vt:lpstr>
      <vt:lpstr>SteadyStateMonthlySEMSpend</vt:lpstr>
      <vt:lpstr>SubscriptionMargin</vt:lpstr>
      <vt:lpstr>TaxesAndBenefits</vt:lpstr>
      <vt:lpstr>TechCostPerEmployeePerMonth</vt:lpstr>
      <vt:lpstr>TrainingPerEmployeePerMonth</vt:lpstr>
      <vt:lpstr>TravelCostPerEmployeePerMonth</vt:lpstr>
      <vt:lpstr>VIsitsPerFBPicturePost</vt:lpstr>
      <vt:lpstr>VIsitsPerFBVideoPost</vt:lpstr>
    </vt:vector>
  </TitlesOfParts>
  <Company>Cardison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Henikoff</dc:creator>
  <cp:lastModifiedBy>Microsoft Office User</cp:lastModifiedBy>
  <dcterms:created xsi:type="dcterms:W3CDTF">2016-06-25T03:28:24Z</dcterms:created>
  <dcterms:modified xsi:type="dcterms:W3CDTF">2020-09-01T22:55:31Z</dcterms:modified>
</cp:coreProperties>
</file>